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22932" yWindow="252" windowWidth="23256" windowHeight="12216"/>
  </bookViews>
  <sheets>
    <sheet name="Varijantas 1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67" i="1" l="1"/>
  <c r="T58" i="1"/>
  <c r="Q67" i="1" l="1"/>
  <c r="P69" i="1" s="1"/>
  <c r="R67" i="1"/>
  <c r="M69" i="1"/>
  <c r="K69" i="1"/>
  <c r="P67" i="1" l="1"/>
  <c r="O67" i="1" l="1"/>
  <c r="I67" i="1"/>
  <c r="S34" i="1"/>
  <c r="S35" i="1"/>
  <c r="T35" i="1" s="1"/>
  <c r="S61" i="1" l="1"/>
  <c r="S62" i="1"/>
  <c r="S63" i="1"/>
  <c r="S64" i="1"/>
  <c r="S51" i="1" l="1"/>
  <c r="S39" i="1" l="1"/>
  <c r="N67" i="1" l="1"/>
  <c r="I68" i="1"/>
  <c r="T62" i="1"/>
  <c r="T61" i="1"/>
  <c r="T39" i="1"/>
  <c r="T64" i="1" l="1"/>
  <c r="T51" i="1"/>
  <c r="M67" i="1" l="1"/>
  <c r="L67" i="1" l="1"/>
  <c r="K67" i="1" l="1"/>
  <c r="S15" i="1"/>
  <c r="T15" i="1" s="1"/>
  <c r="S17" i="1" l="1"/>
  <c r="T17" i="1" s="1"/>
  <c r="S19" i="1"/>
  <c r="T19" i="1" s="1"/>
  <c r="S24" i="1"/>
  <c r="S25" i="1"/>
  <c r="T25" i="1" s="1"/>
  <c r="S26" i="1"/>
  <c r="T26" i="1" s="1"/>
  <c r="S28" i="1"/>
  <c r="T28" i="1" s="1"/>
  <c r="S29" i="1"/>
  <c r="T29" i="1" s="1"/>
  <c r="S30" i="1"/>
  <c r="T30" i="1" s="1"/>
  <c r="S32" i="1"/>
  <c r="T32" i="1" s="1"/>
  <c r="S33" i="1"/>
  <c r="T33" i="1" s="1"/>
  <c r="S36" i="1"/>
  <c r="T36" i="1" s="1"/>
  <c r="S37" i="1"/>
  <c r="T37" i="1" s="1"/>
  <c r="S38" i="1"/>
  <c r="S40" i="1"/>
  <c r="T40" i="1" s="1"/>
  <c r="S41" i="1"/>
  <c r="T41" i="1" s="1"/>
  <c r="S42" i="1"/>
  <c r="T42" i="1" s="1"/>
  <c r="S43" i="1"/>
  <c r="T43" i="1" s="1"/>
  <c r="S44" i="1"/>
  <c r="T44" i="1" s="1"/>
  <c r="S45" i="1"/>
  <c r="T45" i="1" s="1"/>
  <c r="S46" i="1"/>
  <c r="T46" i="1" s="1"/>
  <c r="S47" i="1"/>
  <c r="T47" i="1" s="1"/>
  <c r="S48" i="1"/>
  <c r="T48" i="1" s="1"/>
  <c r="S49" i="1"/>
  <c r="T49" i="1" s="1"/>
  <c r="S50" i="1"/>
  <c r="T50" i="1" s="1"/>
  <c r="S52" i="1"/>
  <c r="T52" i="1" s="1"/>
  <c r="S54" i="1"/>
  <c r="T54" i="1" s="1"/>
  <c r="S55" i="1"/>
  <c r="T55" i="1" s="1"/>
  <c r="S56" i="1"/>
  <c r="T56" i="1" s="1"/>
  <c r="S57" i="1"/>
  <c r="T57" i="1" s="1"/>
  <c r="S59" i="1"/>
  <c r="T59" i="1" s="1"/>
  <c r="S60" i="1"/>
  <c r="T60" i="1" s="1"/>
  <c r="S65" i="1"/>
  <c r="T65" i="1" s="1"/>
  <c r="S66" i="1"/>
  <c r="T66" i="1" s="1"/>
  <c r="T38" i="1"/>
  <c r="J67" i="1"/>
  <c r="T24" i="1" l="1"/>
  <c r="S67" i="1"/>
  <c r="I21" i="1"/>
  <c r="I73" i="1" s="1"/>
  <c r="I22" i="1"/>
  <c r="I63" i="1"/>
  <c r="I20" i="1" l="1"/>
  <c r="I72" i="1" s="1"/>
  <c r="I31" i="1"/>
  <c r="I27" i="1" l="1"/>
  <c r="I34" i="1" l="1"/>
  <c r="I69" i="1" s="1"/>
  <c r="I71" i="1" s="1"/>
  <c r="I70" i="1" l="1"/>
</calcChain>
</file>

<file path=xl/sharedStrings.xml><?xml version="1.0" encoding="utf-8"?>
<sst xmlns="http://schemas.openxmlformats.org/spreadsheetml/2006/main" count="203" uniqueCount="151">
  <si>
    <t>Eil. Nr.</t>
  </si>
  <si>
    <t>Objekto parametrai</t>
  </si>
  <si>
    <t>EINAMIESIEMS TIKSLAMS</t>
  </si>
  <si>
    <t>A.V.</t>
  </si>
  <si>
    <t>SUDERINTA</t>
  </si>
  <si>
    <r>
      <t xml:space="preserve">Pradžia - pabaiga       </t>
    </r>
    <r>
      <rPr>
        <sz val="10"/>
        <color theme="1"/>
        <rFont val="Times New Roman"/>
        <family val="1"/>
        <charset val="186"/>
      </rPr>
      <t/>
    </r>
  </si>
  <si>
    <t>priežiūra</t>
  </si>
  <si>
    <t>Ilgis, m</t>
  </si>
  <si>
    <t>Plotis, m</t>
  </si>
  <si>
    <t>Darbų ir paslaugų rūšis</t>
  </si>
  <si>
    <t>Skirta lėšų, tūkst. Eur</t>
  </si>
  <si>
    <t xml:space="preserve">                                            </t>
  </si>
  <si>
    <t xml:space="preserve">                                                            </t>
  </si>
  <si>
    <t xml:space="preserve">                                                                                   (pareigos, v., pavardė, parašas)</t>
  </si>
  <si>
    <t>Viso kelių (gatvių) su žvyro danga priežiūra:</t>
  </si>
  <si>
    <t>Viso kelių su a/b danga priežiūra:</t>
  </si>
  <si>
    <t>TURTUI ĮSIGYTI</t>
  </si>
  <si>
    <t>Objekto turtui įsigyti vertė,  tūkst.Eur</t>
  </si>
  <si>
    <r>
      <t>Objekto pavadinimas</t>
    </r>
    <r>
      <rPr>
        <sz val="10"/>
        <rFont val="Times New Roman"/>
        <family val="1"/>
        <charset val="186"/>
      </rPr>
      <t xml:space="preserve"> (kelio Nr. ir pavadinimas savivaldybės tarybos patvirtintame vietinės reikšmės kelių sąraše)</t>
    </r>
  </si>
  <si>
    <t>Turto ir veiklos valdymo departamento Vietinės reikšmės kelių skyriaus kontroliuojantis asmuo</t>
  </si>
  <si>
    <t>Plungės rajono savivaldybės</t>
  </si>
  <si>
    <t>Plungės miesto vietinės reikšmės keliai (gatvės) su žvyro danga</t>
  </si>
  <si>
    <t>Seniūnijų keliai ir gatvės</t>
  </si>
  <si>
    <t>Plungės rajono kaimiškųjų seniūnijų vietinės reikšmės keliai (gatvės) su žvyro danga</t>
  </si>
  <si>
    <t>Priežiūra</t>
  </si>
  <si>
    <t>Plungės miesto gatvės su asfalto danga priežiūra</t>
  </si>
  <si>
    <t>Plungės rajono kaimiškųjų seniūnijų vietinės reikšmės keliai (gatvės) su asfalto danga</t>
  </si>
  <si>
    <t>Horizontalus kelių ir gatvių ženklinimas</t>
  </si>
  <si>
    <t xml:space="preserve">Seniūnijų keliai ir gatvės </t>
  </si>
  <si>
    <t>200 vnt.</t>
  </si>
  <si>
    <t>Inžinerinės paslaugos</t>
  </si>
  <si>
    <t>806.3 km</t>
  </si>
  <si>
    <t>Laboratoriniai bandymai</t>
  </si>
  <si>
    <t xml:space="preserve">Nausodžio seniūnijos, Varkalių kaimas, Sodo gatvė Nr.PL 0577 </t>
  </si>
  <si>
    <t>6197500-363215 6196598-362963</t>
  </si>
  <si>
    <t>Kelio vertikalus ženklinimas</t>
  </si>
  <si>
    <t>paprastasis remontas</t>
  </si>
  <si>
    <t>1511,3</t>
  </si>
  <si>
    <t>Plungės rajono kaimiškųjų seniūnijų vietinės reikšmės keliai (gatvės) su žvyro danga (greideriavimas)</t>
  </si>
  <si>
    <t>Plungės rajono savivaldybės vietinės reikšmės kelių (gatvių) inventorizacija</t>
  </si>
  <si>
    <t>100 km</t>
  </si>
  <si>
    <t>Naujos statybos ir rekonstravimo projektų suplanavimo metai</t>
  </si>
  <si>
    <t>Viso turtui įsigyti (≥50%), iš jų:</t>
  </si>
  <si>
    <t>turtui, kurio vertė daugiau negu 360 tūkst. Eur, įsigyti (naujos statybos ir rekonstravimo investicijų projektams, suplanuotiems ir atrinktiems iki 2020 m. gruodžio 31 d., įgyvendinti)*</t>
  </si>
  <si>
    <t>*</t>
  </si>
  <si>
    <t>Lietuvos Respublikos investicijų įstatymo 2 straipsnio 9 dalis</t>
  </si>
  <si>
    <t>-</t>
  </si>
  <si>
    <t>21,0 km</t>
  </si>
  <si>
    <t>872,1 km</t>
  </si>
  <si>
    <t>41,7 km</t>
  </si>
  <si>
    <t>97,4 km</t>
  </si>
  <si>
    <t>139,1 km</t>
  </si>
  <si>
    <t>Kapitalinis remontas, inžinerinės paslaugos</t>
  </si>
  <si>
    <t>Plungės miesto, Kepyklos gatvė Nr. PL 120 ir Pievų gatvė Nr. PL 145</t>
  </si>
  <si>
    <t xml:space="preserve">6199302 - 366303 6199629 - 366476   6199502 - 366217 6199501 - 366403   </t>
  </si>
  <si>
    <t>8-12</t>
  </si>
  <si>
    <t>Rekonstrukcija, Inžinerinės paslaugos</t>
  </si>
  <si>
    <t>Plungės mieso šaligatvių priežiūra</t>
  </si>
  <si>
    <t>Nausodžio seniūnija, Varkalių kaimas  Žemaičių gatvė Nr. PL0561 (asfalto danga)</t>
  </si>
  <si>
    <t>6197664 - 364159                                                                    6197389 - 364233</t>
  </si>
  <si>
    <t>Kulių seniūnija, Kumžaičių kaimas  Kumžaičių gatvė Nr. PL0319 (asfalto danga)</t>
  </si>
  <si>
    <t>6188246 - 354009                                                               6188282 -353877</t>
  </si>
  <si>
    <t>6212552 - 377558  6212561 - 377547</t>
  </si>
  <si>
    <t>Alsėdžių seniūnija Makščių kaimas Aplinkelio gatvės atšaka Nr. PL 0076 (pralaidos tvarkymas)</t>
  </si>
  <si>
    <r>
      <t>12m/</t>
    </r>
    <r>
      <rPr>
        <sz val="12"/>
        <color theme="1"/>
        <rFont val="Calibri"/>
        <family val="2"/>
        <charset val="186"/>
      </rPr>
      <t>Ø</t>
    </r>
    <r>
      <rPr>
        <sz val="12"/>
        <color theme="1"/>
        <rFont val="Times New Roman"/>
        <family val="1"/>
        <charset val="186"/>
      </rPr>
      <t>0,6m</t>
    </r>
  </si>
  <si>
    <t>6199449 - 365997  6199028 - 367108</t>
  </si>
  <si>
    <t>Žemaičių kalvarijos seniūnija, Paplatelės kaimas  Plokštinės gatvė Nr. PL1504</t>
  </si>
  <si>
    <t>6215543 - 368048  6215536 - 368051</t>
  </si>
  <si>
    <t>Plungės miesto A. Jucio gatvė Nr. 118 (asfaltavimas)</t>
  </si>
  <si>
    <t>Plungės V. Mačernio gatvė Nr. PL 137 (asfaltavimas)</t>
  </si>
  <si>
    <t>Plungės miesto Birutės gatvė Nr. PL 106 (asfaltavimas)</t>
  </si>
  <si>
    <t>Plungės miesto J. Tumo - Vaaižganto gatvė Nr. PL 178 (šaligatvis)</t>
  </si>
  <si>
    <t>Plungės miesto A. Jucio gatvė Nr. PL 118 (šaligatvis)</t>
  </si>
  <si>
    <t>Plungės miesto V. Mačernio gatvė Nr. PL 137 (šaligatvis)</t>
  </si>
  <si>
    <t>Plungės  miesto Palankės gatvė Nr. PL 148 (šaligatvis)</t>
  </si>
  <si>
    <t xml:space="preserve">Plungės miesto A. Vaišvilos gatvė Nr. PL 179 (pėsčiųjų perėja) </t>
  </si>
  <si>
    <t xml:space="preserve">Plungės miesto M. K. Čiurlionio gatvė Nr. PL 110 (pėsčiųjų perėja) </t>
  </si>
  <si>
    <t xml:space="preserve">Plungės miesto Birutės gatvė Nr. PL 106 (pėsčiųjų perėja) </t>
  </si>
  <si>
    <t xml:space="preserve">Plungės miesto Lankos gatvė Nr. PL  131 (pėsčiųjų perėja) </t>
  </si>
  <si>
    <t xml:space="preserve">Plungės miesto Laisvės gatvė Nr. PL 129 (apšvietimas) </t>
  </si>
  <si>
    <t xml:space="preserve">Plungės miesto Kalniškių gatvė  Nr. PL 125 (apšvietimas) </t>
  </si>
  <si>
    <t>6198761 - 365065                       6198762 -  365070  6198789 - 364627                        6198792 - 364697
6198667 - 365219                        6198669 - 365201</t>
  </si>
  <si>
    <t xml:space="preserve">6199249 - 364186                          6199260 - 364141  6199259 -  364235                        1699273 -  364230                   </t>
  </si>
  <si>
    <t xml:space="preserve">6200003 - 364038                       6199887 - 364025 </t>
  </si>
  <si>
    <t>6198768 - 364425  6198677 -  364368</t>
  </si>
  <si>
    <t>6198924 -  364684                 6198825 - 364598</t>
  </si>
  <si>
    <t>6199161 -
364428
6199097 -
364205</t>
  </si>
  <si>
    <t>6199412 -
365265
6199442 -
365304</t>
  </si>
  <si>
    <t>2 vnt</t>
  </si>
  <si>
    <t>6199332
364537
6199347
364598</t>
  </si>
  <si>
    <t>6199156 - 365804</t>
  </si>
  <si>
    <t>1 vnt</t>
  </si>
  <si>
    <t>1vnt</t>
  </si>
  <si>
    <t>6199808 -  364664</t>
  </si>
  <si>
    <t>6198731 - 365367</t>
  </si>
  <si>
    <t>6198730 - 365269</t>
  </si>
  <si>
    <t>6198637 - 365727  6198237 - 365896</t>
  </si>
  <si>
    <t>Plungės miesto Telšių gatvė Nr. PL167</t>
  </si>
  <si>
    <t>iš jų saugaus eismo ir darnaus judumo priemonėms:</t>
  </si>
  <si>
    <t>Viso einamiesiems tikslams, iš jų:</t>
  </si>
  <si>
    <t>paprastajam remontui:</t>
  </si>
  <si>
    <t>saugaus eismo ir darnaus judumo priemonėms:</t>
  </si>
  <si>
    <t>IŠ VISO, iš jų:</t>
  </si>
  <si>
    <t>saugaus eismo ir darnaus judumo priemonėms (≥10%)</t>
  </si>
  <si>
    <t>turtui įsigyti (≥50%), iš jų:</t>
  </si>
  <si>
    <t>turtui, kurio vertė daugiau negu 360 tūkst. Eur, įsigyti (naujos statybos ir rekonstravimo investicijų projektams,
suplanuotiems ir atrinktiems iki 2020 m. gruodžio 31 d., įgyvendinti)*:</t>
  </si>
  <si>
    <t>Kapitalinis remontas, Inžinerinės paslaugos</t>
  </si>
  <si>
    <t>Viso saugaus eismo ir darnaus judumo priemonės</t>
  </si>
  <si>
    <t>Saugaus eismo ir darnaus judumo priemonės:</t>
  </si>
  <si>
    <t>Aktavimas</t>
  </si>
  <si>
    <t>7 mėn</t>
  </si>
  <si>
    <t>8 mėn</t>
  </si>
  <si>
    <t>9 mėn</t>
  </si>
  <si>
    <t>10 mėn</t>
  </si>
  <si>
    <t>11 mėn</t>
  </si>
  <si>
    <t>12 mėn</t>
  </si>
  <si>
    <t>Likutis</t>
  </si>
  <si>
    <t>Užaktuota iš viso</t>
  </si>
  <si>
    <t>05 mėn</t>
  </si>
  <si>
    <t>06 mėn</t>
  </si>
  <si>
    <t>13 mėn</t>
  </si>
  <si>
    <t>Plungės  miesto Kalniškių gatvė Nr. PL 125 (asfaltavimas)</t>
  </si>
  <si>
    <t>6199304 -  365466  6199205 - 365431</t>
  </si>
  <si>
    <t>Plungės miesto Rietavo gatvės skveras Nr. PL 154 (šaligatvis)</t>
  </si>
  <si>
    <t>6199549 - 365469  6199551 - 365401</t>
  </si>
  <si>
    <t>Plungės miesto Birutės gatvė Nr. PL 106 (šaligatvis)</t>
  </si>
  <si>
    <t>6199971 - 364154  6199990 - 364120</t>
  </si>
  <si>
    <t>Plungės miesto Laisvės gatvė Nr. PL 129 (šaligatvis)</t>
  </si>
  <si>
    <t>6198726 - 365353  6198730 - 365347</t>
  </si>
  <si>
    <t>Plungės miesto Vaišvilos gatvė Nr. PL 179 (šaligatvis)</t>
  </si>
  <si>
    <t>6199311 - 364471  6199274 - 364407</t>
  </si>
  <si>
    <t>Plungės miesto Ryto gatvė Nr. PL 155 (šaligatvis)</t>
  </si>
  <si>
    <t>6198365 - 365238 6198362 - 365249</t>
  </si>
  <si>
    <t>Paprastojo remonto ir priežiūros darbų techninė priežiūra</t>
  </si>
  <si>
    <t>1032,2 km</t>
  </si>
  <si>
    <t xml:space="preserve">Stalgėnų seniūnijos , Stalgėnų k. Minijos g.
Nr.  PL1180 (asfalto danga)
</t>
  </si>
  <si>
    <t xml:space="preserve">6189733- 367703
 6189867 -367856
</t>
  </si>
  <si>
    <t xml:space="preserve">Plungės miesto J. Pabrėžos gatvė Nr. PL 219 (pėsčiųjų perėja) </t>
  </si>
  <si>
    <t>6200190  - 362600</t>
  </si>
  <si>
    <t xml:space="preserve">Plungės miesto Sinagogų gatvė Nr. PL  160 (pėsčiųjų perėja) </t>
  </si>
  <si>
    <t>inžinerinės paslaugos</t>
  </si>
  <si>
    <t xml:space="preserve">6199457 - 365313
6199522 - 365360
6199457 - 365313
6199522 - 365360
</t>
  </si>
  <si>
    <t>Nausodžio seniūnija, Varkalių kaimas  Kanalo gatvė Nr. PL0697 (asfalto danga)</t>
  </si>
  <si>
    <t xml:space="preserve">6197692 - 364123  6197571 - 364047  </t>
  </si>
  <si>
    <t>KPPP AKTAVIMAS IR LIKUČIAI</t>
  </si>
  <si>
    <t>II ketvirtis</t>
  </si>
  <si>
    <t>III ketvirtis</t>
  </si>
  <si>
    <t>IV ketvirtis</t>
  </si>
  <si>
    <t>Bendra II ketv.</t>
  </si>
  <si>
    <t>Bendra III ketv.</t>
  </si>
  <si>
    <t>Bendra IV ketv.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</si>
</sst>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5" x14ac:knownFonts="1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12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name val="Times New Roman"/>
      <family val="1"/>
      <charset val="186"/>
    </font>
    <font>
      <b/>
      <sz val="12"/>
      <name val="Times New Roman"/>
      <family val="1"/>
      <charset val="186"/>
    </font>
    <font>
      <b/>
      <i/>
      <sz val="12"/>
      <name val="Times New Roman"/>
      <family val="1"/>
      <charset val="186"/>
    </font>
    <font>
      <u/>
      <sz val="12"/>
      <name val="Times New Roman"/>
      <family val="1"/>
      <charset val="186"/>
    </font>
    <font>
      <i/>
      <sz val="8"/>
      <name val="Times New Roman"/>
      <family val="1"/>
      <charset val="186"/>
    </font>
    <font>
      <b/>
      <sz val="12"/>
      <color rgb="FFFF0000"/>
      <name val="Times New Roman"/>
      <family val="1"/>
      <charset val="186"/>
    </font>
    <font>
      <sz val="8"/>
      <name val="Times New Roman"/>
      <family val="1"/>
      <charset val="186"/>
    </font>
    <font>
      <sz val="12"/>
      <color rgb="FFFF0000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2"/>
      <color theme="1"/>
      <name val="Calibri"/>
      <family val="2"/>
      <charset val="186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57">
    <xf numFmtId="0" fontId="0" fillId="0" borderId="0" xfId="0"/>
    <xf numFmtId="0" fontId="2" fillId="0" borderId="0" xfId="0" applyFont="1" applyAlignment="1">
      <alignment vertical="center"/>
    </xf>
    <xf numFmtId="164" fontId="2" fillId="0" borderId="0" xfId="0" applyNumberFormat="1" applyFont="1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5" fillId="0" borderId="0" xfId="0" applyFont="1"/>
    <xf numFmtId="0" fontId="11" fillId="0" borderId="0" xfId="0" applyFont="1"/>
    <xf numFmtId="0" fontId="2" fillId="0" borderId="0" xfId="0" applyFont="1"/>
    <xf numFmtId="0" fontId="2" fillId="0" borderId="0" xfId="0" applyFont="1"/>
    <xf numFmtId="0" fontId="2" fillId="0" borderId="0" xfId="0" applyFont="1" applyBorder="1"/>
    <xf numFmtId="0" fontId="2" fillId="0" borderId="0" xfId="0" applyFont="1"/>
    <xf numFmtId="165" fontId="2" fillId="0" borderId="9" xfId="0" applyNumberFormat="1" applyFont="1" applyFill="1" applyBorder="1" applyAlignment="1">
      <alignment horizontal="right"/>
    </xf>
    <xf numFmtId="0" fontId="2" fillId="0" borderId="5" xfId="0" applyFont="1" applyFill="1" applyBorder="1" applyAlignment="1">
      <alignment horizontal="center" vertical="center"/>
    </xf>
    <xf numFmtId="165" fontId="2" fillId="0" borderId="9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/>
    <xf numFmtId="0" fontId="2" fillId="0" borderId="0" xfId="0" applyFont="1" applyFill="1" applyAlignment="1">
      <alignment horizontal="left"/>
    </xf>
    <xf numFmtId="164" fontId="2" fillId="0" borderId="0" xfId="0" applyNumberFormat="1" applyFont="1" applyFill="1" applyAlignment="1">
      <alignment horizontal="left"/>
    </xf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/>
    </xf>
    <xf numFmtId="0" fontId="2" fillId="0" borderId="29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/>
    </xf>
    <xf numFmtId="0" fontId="2" fillId="0" borderId="26" xfId="0" applyFont="1" applyFill="1" applyBorder="1" applyAlignment="1">
      <alignment horizontal="center" vertical="center"/>
    </xf>
    <xf numFmtId="1" fontId="2" fillId="0" borderId="27" xfId="0" applyNumberFormat="1" applyFont="1" applyFill="1" applyBorder="1" applyAlignment="1">
      <alignment horizontal="center" vertical="center"/>
    </xf>
    <xf numFmtId="165" fontId="6" fillId="0" borderId="9" xfId="0" applyNumberFormat="1" applyFont="1" applyFill="1" applyBorder="1" applyAlignment="1">
      <alignment horizontal="right" vertical="center"/>
    </xf>
    <xf numFmtId="165" fontId="2" fillId="0" borderId="13" xfId="0" applyNumberFormat="1" applyFont="1" applyFill="1" applyBorder="1" applyAlignment="1">
      <alignment horizontal="right" vertical="center"/>
    </xf>
    <xf numFmtId="165" fontId="6" fillId="0" borderId="9" xfId="0" applyNumberFormat="1" applyFont="1" applyFill="1" applyBorder="1" applyAlignment="1">
      <alignment horizontal="right"/>
    </xf>
    <xf numFmtId="165" fontId="2" fillId="0" borderId="13" xfId="0" applyNumberFormat="1" applyFont="1" applyFill="1" applyBorder="1" applyAlignment="1">
      <alignment horizontal="right"/>
    </xf>
    <xf numFmtId="165" fontId="2" fillId="0" borderId="14" xfId="0" applyNumberFormat="1" applyFont="1" applyFill="1" applyBorder="1" applyAlignment="1">
      <alignment horizontal="right"/>
    </xf>
    <xf numFmtId="164" fontId="2" fillId="0" borderId="0" xfId="0" applyNumberFormat="1" applyFont="1" applyFill="1"/>
    <xf numFmtId="0" fontId="2" fillId="0" borderId="0" xfId="0" applyFont="1" applyFill="1" applyAlignment="1">
      <alignment horizontal="right" vertical="center"/>
    </xf>
    <xf numFmtId="0" fontId="5" fillId="0" borderId="0" xfId="0" applyFont="1" applyFill="1" applyAlignment="1">
      <alignment vertical="center"/>
    </xf>
    <xf numFmtId="0" fontId="8" fillId="0" borderId="0" xfId="0" applyFont="1" applyFill="1" applyAlignment="1">
      <alignment horizontal="center"/>
    </xf>
    <xf numFmtId="0" fontId="2" fillId="0" borderId="0" xfId="0" quotePrefix="1" applyFont="1" applyFill="1"/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/>
    </xf>
    <xf numFmtId="0" fontId="2" fillId="0" borderId="0" xfId="0" applyFont="1"/>
    <xf numFmtId="0" fontId="2" fillId="0" borderId="0" xfId="0" applyFont="1"/>
    <xf numFmtId="0" fontId="2" fillId="0" borderId="0" xfId="0" applyFont="1"/>
    <xf numFmtId="0" fontId="2" fillId="0" borderId="0" xfId="0" applyFont="1" applyFill="1"/>
    <xf numFmtId="0" fontId="2" fillId="0" borderId="0" xfId="0" applyFont="1" applyFill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12" fillId="0" borderId="0" xfId="0" applyFont="1"/>
    <xf numFmtId="0" fontId="12" fillId="0" borderId="0" xfId="0" applyFont="1" applyAlignment="1">
      <alignment vertical="center"/>
    </xf>
    <xf numFmtId="165" fontId="6" fillId="0" borderId="13" xfId="0" applyNumberFormat="1" applyFont="1" applyFill="1" applyBorder="1" applyAlignment="1">
      <alignment horizontal="right" vertical="center"/>
    </xf>
    <xf numFmtId="165" fontId="6" fillId="0" borderId="13" xfId="0" applyNumberFormat="1" applyFont="1" applyFill="1" applyBorder="1" applyAlignment="1">
      <alignment horizontal="right"/>
    </xf>
    <xf numFmtId="0" fontId="2" fillId="0" borderId="0" xfId="0" applyFont="1" applyFill="1"/>
    <xf numFmtId="0" fontId="13" fillId="0" borderId="6" xfId="0" applyFont="1" applyFill="1" applyBorder="1" applyAlignment="1">
      <alignment horizontal="center" vertical="center" wrapText="1"/>
    </xf>
    <xf numFmtId="0" fontId="2" fillId="0" borderId="38" xfId="0" applyFont="1" applyFill="1" applyBorder="1" applyAlignment="1">
      <alignment horizontal="center" vertical="center"/>
    </xf>
    <xf numFmtId="165" fontId="2" fillId="0" borderId="13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165" fontId="2" fillId="0" borderId="8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 vertical="center" wrapText="1"/>
    </xf>
    <xf numFmtId="164" fontId="2" fillId="0" borderId="6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  <xf numFmtId="164" fontId="2" fillId="0" borderId="9" xfId="0" applyNumberFormat="1" applyFont="1" applyFill="1" applyBorder="1" applyAlignment="1">
      <alignment horizontal="center" vertical="center" wrapText="1"/>
    </xf>
    <xf numFmtId="165" fontId="6" fillId="0" borderId="4" xfId="0" applyNumberFormat="1" applyFont="1" applyFill="1" applyBorder="1" applyAlignment="1">
      <alignment horizontal="right"/>
    </xf>
    <xf numFmtId="0" fontId="2" fillId="0" borderId="11" xfId="0" applyFont="1" applyFill="1" applyBorder="1" applyAlignment="1">
      <alignment horizontal="right" vertical="center" wrapText="1"/>
    </xf>
    <xf numFmtId="0" fontId="2" fillId="0" borderId="12" xfId="0" applyFont="1" applyFill="1" applyBorder="1" applyAlignment="1">
      <alignment horizontal="right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3" borderId="6" xfId="0" applyFont="1" applyFill="1" applyBorder="1"/>
    <xf numFmtId="0" fontId="13" fillId="0" borderId="9" xfId="0" applyFont="1" applyFill="1" applyBorder="1" applyAlignment="1">
      <alignment horizontal="center" vertical="center"/>
    </xf>
    <xf numFmtId="164" fontId="13" fillId="0" borderId="9" xfId="0" applyNumberFormat="1" applyFont="1" applyFill="1" applyBorder="1" applyAlignment="1">
      <alignment horizontal="center" vertical="center"/>
    </xf>
    <xf numFmtId="0" fontId="2" fillId="0" borderId="46" xfId="0" applyFont="1" applyBorder="1"/>
    <xf numFmtId="0" fontId="2" fillId="0" borderId="1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/>
    </xf>
    <xf numFmtId="0" fontId="2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13" fillId="2" borderId="6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164" fontId="13" fillId="0" borderId="6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right" vertical="center"/>
    </xf>
    <xf numFmtId="0" fontId="2" fillId="0" borderId="6" xfId="0" applyFont="1" applyBorder="1" applyAlignment="1">
      <alignment horizontal="center" vertical="center" wrapText="1"/>
    </xf>
    <xf numFmtId="165" fontId="2" fillId="0" borderId="6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164" fontId="2" fillId="0" borderId="0" xfId="0" applyNumberFormat="1" applyFont="1" applyBorder="1"/>
    <xf numFmtId="0" fontId="2" fillId="0" borderId="0" xfId="0" applyFont="1" applyBorder="1" applyAlignment="1">
      <alignment horizontal="center" vertical="center" wrapText="1"/>
    </xf>
    <xf numFmtId="164" fontId="13" fillId="0" borderId="0" xfId="0" applyNumberFormat="1" applyFont="1" applyBorder="1" applyAlignment="1">
      <alignment horizontal="center" vertical="center"/>
    </xf>
    <xf numFmtId="165" fontId="2" fillId="0" borderId="0" xfId="0" applyNumberFormat="1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165" fontId="2" fillId="0" borderId="6" xfId="0" applyNumberFormat="1" applyFont="1" applyFill="1" applyBorder="1" applyAlignment="1">
      <alignment horizontal="center" vertical="center"/>
    </xf>
    <xf numFmtId="164" fontId="13" fillId="0" borderId="6" xfId="0" applyNumberFormat="1" applyFont="1" applyFill="1" applyBorder="1" applyAlignment="1">
      <alignment horizontal="center" vertical="center"/>
    </xf>
    <xf numFmtId="2" fontId="2" fillId="0" borderId="0" xfId="0" applyNumberFormat="1" applyFont="1"/>
    <xf numFmtId="0" fontId="2" fillId="0" borderId="6" xfId="0" applyFont="1" applyFill="1" applyBorder="1" applyAlignment="1">
      <alignment horizontal="center" vertical="center" wrapText="1"/>
    </xf>
    <xf numFmtId="0" fontId="2" fillId="0" borderId="46" xfId="0" applyFont="1" applyFill="1" applyBorder="1"/>
    <xf numFmtId="0" fontId="2" fillId="0" borderId="47" xfId="0" applyFont="1" applyFill="1" applyBorder="1"/>
    <xf numFmtId="2" fontId="2" fillId="0" borderId="43" xfId="0" applyNumberFormat="1" applyFont="1" applyFill="1" applyBorder="1"/>
    <xf numFmtId="0" fontId="2" fillId="0" borderId="0" xfId="0" applyFont="1" applyFill="1" applyBorder="1" applyAlignment="1"/>
    <xf numFmtId="0" fontId="2" fillId="0" borderId="11" xfId="0" applyFont="1" applyFill="1" applyBorder="1"/>
    <xf numFmtId="49" fontId="2" fillId="0" borderId="11" xfId="0" applyNumberFormat="1" applyFont="1" applyFill="1" applyBorder="1" applyAlignment="1">
      <alignment vertical="center"/>
    </xf>
    <xf numFmtId="0" fontId="6" fillId="0" borderId="36" xfId="0" applyFont="1" applyFill="1" applyBorder="1" applyAlignment="1">
      <alignment vertical="center"/>
    </xf>
    <xf numFmtId="0" fontId="2" fillId="0" borderId="50" xfId="0" applyFont="1" applyFill="1" applyBorder="1"/>
    <xf numFmtId="2" fontId="5" fillId="0" borderId="0" xfId="0" applyNumberFormat="1" applyFont="1"/>
    <xf numFmtId="2" fontId="2" fillId="0" borderId="0" xfId="0" applyNumberFormat="1" applyFont="1" applyBorder="1" applyAlignment="1">
      <alignment vertical="center"/>
    </xf>
    <xf numFmtId="0" fontId="2" fillId="4" borderId="5" xfId="0" applyFont="1" applyFill="1" applyBorder="1"/>
    <xf numFmtId="0" fontId="2" fillId="4" borderId="9" xfId="0" applyFont="1" applyFill="1" applyBorder="1" applyAlignment="1">
      <alignment wrapText="1"/>
    </xf>
    <xf numFmtId="0" fontId="2" fillId="4" borderId="9" xfId="0" applyFont="1" applyFill="1" applyBorder="1"/>
    <xf numFmtId="0" fontId="12" fillId="4" borderId="5" xfId="0" applyFont="1" applyFill="1" applyBorder="1"/>
    <xf numFmtId="0" fontId="2" fillId="4" borderId="28" xfId="0" applyFont="1" applyFill="1" applyBorder="1"/>
    <xf numFmtId="0" fontId="2" fillId="4" borderId="14" xfId="0" applyFont="1" applyFill="1" applyBorder="1"/>
    <xf numFmtId="2" fontId="6" fillId="4" borderId="43" xfId="0" applyNumberFormat="1" applyFont="1" applyFill="1" applyBorder="1"/>
    <xf numFmtId="0" fontId="2" fillId="4" borderId="43" xfId="0" applyFont="1" applyFill="1" applyBorder="1"/>
    <xf numFmtId="0" fontId="2" fillId="5" borderId="5" xfId="0" applyFont="1" applyFill="1" applyBorder="1"/>
    <xf numFmtId="0" fontId="2" fillId="5" borderId="6" xfId="0" applyFont="1" applyFill="1" applyBorder="1"/>
    <xf numFmtId="0" fontId="2" fillId="5" borderId="15" xfId="0" applyFont="1" applyFill="1" applyBorder="1"/>
    <xf numFmtId="165" fontId="2" fillId="5" borderId="5" xfId="0" applyNumberFormat="1" applyFont="1" applyFill="1" applyBorder="1"/>
    <xf numFmtId="49" fontId="2" fillId="5" borderId="15" xfId="0" applyNumberFormat="1" applyFont="1" applyFill="1" applyBorder="1" applyAlignment="1">
      <alignment vertical="center"/>
    </xf>
    <xf numFmtId="0" fontId="2" fillId="5" borderId="28" xfId="0" applyFont="1" applyFill="1" applyBorder="1"/>
    <xf numFmtId="0" fontId="2" fillId="5" borderId="29" xfId="0" applyFont="1" applyFill="1" applyBorder="1"/>
    <xf numFmtId="0" fontId="6" fillId="5" borderId="45" xfId="0" applyFont="1" applyFill="1" applyBorder="1" applyAlignment="1">
      <alignment vertical="center"/>
    </xf>
    <xf numFmtId="2" fontId="2" fillId="5" borderId="24" xfId="0" applyNumberFormat="1" applyFont="1" applyFill="1" applyBorder="1"/>
    <xf numFmtId="2" fontId="2" fillId="5" borderId="43" xfId="0" applyNumberFormat="1" applyFont="1" applyFill="1" applyBorder="1"/>
    <xf numFmtId="0" fontId="2" fillId="3" borderId="5" xfId="0" applyFont="1" applyFill="1" applyBorder="1"/>
    <xf numFmtId="0" fontId="2" fillId="3" borderId="9" xfId="0" applyFont="1" applyFill="1" applyBorder="1"/>
    <xf numFmtId="49" fontId="2" fillId="3" borderId="5" xfId="0" applyNumberFormat="1" applyFont="1" applyFill="1" applyBorder="1" applyAlignment="1">
      <alignment vertical="center"/>
    </xf>
    <xf numFmtId="49" fontId="2" fillId="3" borderId="6" xfId="0" applyNumberFormat="1" applyFont="1" applyFill="1" applyBorder="1" applyAlignment="1">
      <alignment vertical="center"/>
    </xf>
    <xf numFmtId="0" fontId="2" fillId="3" borderId="28" xfId="0" applyFont="1" applyFill="1" applyBorder="1" applyAlignment="1">
      <alignment vertical="center"/>
    </xf>
    <xf numFmtId="0" fontId="6" fillId="3" borderId="29" xfId="0" applyFont="1" applyFill="1" applyBorder="1" applyAlignment="1">
      <alignment vertical="center"/>
    </xf>
    <xf numFmtId="0" fontId="6" fillId="3" borderId="14" xfId="0" applyFont="1" applyFill="1" applyBorder="1" applyAlignment="1">
      <alignment vertical="center"/>
    </xf>
    <xf numFmtId="2" fontId="2" fillId="3" borderId="43" xfId="0" applyNumberFormat="1" applyFont="1" applyFill="1" applyBorder="1"/>
    <xf numFmtId="0" fontId="2" fillId="3" borderId="19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7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/>
    </xf>
    <xf numFmtId="0" fontId="2" fillId="0" borderId="16" xfId="0" applyFont="1" applyFill="1" applyBorder="1" applyAlignment="1">
      <alignment horizontal="center"/>
    </xf>
    <xf numFmtId="0" fontId="2" fillId="0" borderId="53" xfId="0" applyFont="1" applyFill="1" applyBorder="1" applyAlignment="1">
      <alignment horizontal="center"/>
    </xf>
    <xf numFmtId="0" fontId="2" fillId="0" borderId="59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center"/>
    </xf>
    <xf numFmtId="0" fontId="2" fillId="4" borderId="51" xfId="0" applyFont="1" applyFill="1" applyBorder="1" applyAlignment="1">
      <alignment horizontal="center"/>
    </xf>
    <xf numFmtId="0" fontId="2" fillId="4" borderId="9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2" fillId="5" borderId="5" xfId="0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/>
    </xf>
    <xf numFmtId="0" fontId="2" fillId="5" borderId="6" xfId="0" applyFont="1" applyFill="1" applyBorder="1" applyAlignment="1">
      <alignment horizontal="center"/>
    </xf>
    <xf numFmtId="0" fontId="2" fillId="5" borderId="33" xfId="0" applyFont="1" applyFill="1" applyBorder="1" applyAlignment="1">
      <alignment horizontal="center"/>
    </xf>
    <xf numFmtId="0" fontId="2" fillId="5" borderId="15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2" fillId="0" borderId="16" xfId="0" applyFont="1" applyFill="1" applyBorder="1" applyAlignment="1">
      <alignment horizontal="right" vertical="center"/>
    </xf>
    <xf numFmtId="0" fontId="2" fillId="0" borderId="17" xfId="0" applyFont="1" applyFill="1" applyBorder="1" applyAlignment="1">
      <alignment horizontal="right" vertical="center"/>
    </xf>
    <xf numFmtId="0" fontId="2" fillId="0" borderId="18" xfId="0" applyFont="1" applyFill="1" applyBorder="1" applyAlignment="1">
      <alignment horizontal="right" vertical="center"/>
    </xf>
    <xf numFmtId="0" fontId="6" fillId="0" borderId="0" xfId="0" applyFont="1" applyFill="1" applyAlignment="1">
      <alignment horizontal="center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left" wrapText="1"/>
    </xf>
    <xf numFmtId="0" fontId="2" fillId="0" borderId="0" xfId="0" applyFont="1" applyFill="1"/>
    <xf numFmtId="0" fontId="2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center" wrapText="1"/>
    </xf>
    <xf numFmtId="0" fontId="2" fillId="0" borderId="1" xfId="0" applyFont="1" applyFill="1" applyBorder="1" applyAlignment="1">
      <alignment vertical="center" wrapText="1"/>
    </xf>
    <xf numFmtId="0" fontId="2" fillId="0" borderId="28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164" fontId="2" fillId="0" borderId="31" xfId="0" applyNumberFormat="1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right" vertical="center"/>
    </xf>
    <xf numFmtId="0" fontId="2" fillId="0" borderId="11" xfId="0" applyFont="1" applyFill="1" applyBorder="1" applyAlignment="1">
      <alignment horizontal="right" vertical="center"/>
    </xf>
    <xf numFmtId="0" fontId="2" fillId="0" borderId="12" xfId="0" applyFont="1" applyFill="1" applyBorder="1" applyAlignment="1">
      <alignment horizontal="right" vertical="center"/>
    </xf>
    <xf numFmtId="0" fontId="2" fillId="0" borderId="39" xfId="0" applyFont="1" applyFill="1" applyBorder="1" applyAlignment="1">
      <alignment horizontal="right" vertical="center" wrapText="1"/>
    </xf>
    <xf numFmtId="0" fontId="2" fillId="0" borderId="17" xfId="0" applyFont="1" applyFill="1" applyBorder="1" applyAlignment="1">
      <alignment horizontal="right" vertical="center" wrapText="1"/>
    </xf>
    <xf numFmtId="0" fontId="2" fillId="0" borderId="18" xfId="0" applyFont="1" applyFill="1" applyBorder="1" applyAlignment="1">
      <alignment horizontal="righ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right" vertical="center" wrapText="1"/>
    </xf>
    <xf numFmtId="0" fontId="2" fillId="0" borderId="11" xfId="0" applyFont="1" applyFill="1" applyBorder="1" applyAlignment="1">
      <alignment horizontal="right" vertical="center" wrapText="1"/>
    </xf>
    <xf numFmtId="0" fontId="2" fillId="0" borderId="12" xfId="0" applyFont="1" applyFill="1" applyBorder="1" applyAlignment="1">
      <alignment horizontal="right" vertical="center" wrapText="1"/>
    </xf>
    <xf numFmtId="0" fontId="5" fillId="0" borderId="0" xfId="0" applyFont="1" applyFill="1" applyAlignment="1">
      <alignment horizontal="right" vertical="center"/>
    </xf>
    <xf numFmtId="0" fontId="6" fillId="0" borderId="11" xfId="0" applyFont="1" applyFill="1" applyBorder="1" applyAlignment="1">
      <alignment horizontal="right" vertical="center"/>
    </xf>
    <xf numFmtId="0" fontId="6" fillId="0" borderId="12" xfId="0" applyFont="1" applyFill="1" applyBorder="1" applyAlignment="1">
      <alignment horizontal="right" vertical="center"/>
    </xf>
    <xf numFmtId="0" fontId="2" fillId="0" borderId="2" xfId="0" applyFont="1" applyFill="1" applyBorder="1" applyAlignment="1">
      <alignment horizontal="center" vertical="center"/>
    </xf>
    <xf numFmtId="0" fontId="7" fillId="0" borderId="22" xfId="0" applyFont="1" applyFill="1" applyBorder="1" applyAlignment="1">
      <alignment horizontal="center"/>
    </xf>
    <xf numFmtId="0" fontId="5" fillId="0" borderId="23" xfId="0" applyFont="1" applyFill="1" applyBorder="1" applyAlignment="1">
      <alignment horizontal="center"/>
    </xf>
    <xf numFmtId="0" fontId="5" fillId="0" borderId="24" xfId="0" applyFont="1" applyFill="1" applyBorder="1" applyAlignment="1">
      <alignment horizontal="center"/>
    </xf>
    <xf numFmtId="0" fontId="2" fillId="0" borderId="20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33" xfId="0" applyFont="1" applyFill="1" applyBorder="1" applyAlignment="1">
      <alignment horizontal="center" vertical="center" wrapText="1"/>
    </xf>
    <xf numFmtId="0" fontId="2" fillId="0" borderId="34" xfId="0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right" vertical="center"/>
    </xf>
    <xf numFmtId="0" fontId="9" fillId="0" borderId="0" xfId="0" applyFont="1" applyFill="1" applyAlignment="1">
      <alignment horizontal="center" vertical="top"/>
    </xf>
    <xf numFmtId="0" fontId="8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2" fillId="0" borderId="35" xfId="0" applyFont="1" applyFill="1" applyBorder="1" applyAlignment="1">
      <alignment horizontal="right" vertical="center" wrapText="1"/>
    </xf>
    <xf numFmtId="0" fontId="2" fillId="0" borderId="36" xfId="0" applyFont="1" applyFill="1" applyBorder="1" applyAlignment="1">
      <alignment horizontal="right" vertical="center"/>
    </xf>
    <xf numFmtId="0" fontId="2" fillId="0" borderId="37" xfId="0" applyFont="1" applyFill="1" applyBorder="1" applyAlignment="1">
      <alignment horizontal="right" vertical="center"/>
    </xf>
    <xf numFmtId="49" fontId="6" fillId="0" borderId="5" xfId="0" applyNumberFormat="1" applyFont="1" applyFill="1" applyBorder="1" applyAlignment="1">
      <alignment horizontal="right" vertical="center"/>
    </xf>
    <xf numFmtId="49" fontId="2" fillId="0" borderId="6" xfId="0" applyNumberFormat="1" applyFont="1" applyFill="1" applyBorder="1" applyAlignment="1">
      <alignment horizontal="right" vertical="center"/>
    </xf>
    <xf numFmtId="49" fontId="2" fillId="0" borderId="5" xfId="0" applyNumberFormat="1" applyFont="1" applyFill="1" applyBorder="1" applyAlignment="1">
      <alignment horizontal="right" vertical="center"/>
    </xf>
    <xf numFmtId="49" fontId="2" fillId="0" borderId="16" xfId="0" applyNumberFormat="1" applyFont="1" applyFill="1" applyBorder="1" applyAlignment="1">
      <alignment horizontal="right" vertical="center"/>
    </xf>
    <xf numFmtId="49" fontId="2" fillId="0" borderId="17" xfId="0" applyNumberFormat="1" applyFont="1" applyFill="1" applyBorder="1" applyAlignment="1">
      <alignment horizontal="right" vertical="center"/>
    </xf>
    <xf numFmtId="49" fontId="2" fillId="0" borderId="18" xfId="0" applyNumberFormat="1" applyFont="1" applyFill="1" applyBorder="1" applyAlignment="1">
      <alignment horizontal="right" vertical="center"/>
    </xf>
    <xf numFmtId="0" fontId="6" fillId="0" borderId="40" xfId="0" applyFont="1" applyFill="1" applyBorder="1" applyAlignment="1">
      <alignment horizontal="right" vertical="center"/>
    </xf>
    <xf numFmtId="0" fontId="6" fillId="0" borderId="41" xfId="0" applyFont="1" applyFill="1" applyBorder="1" applyAlignment="1">
      <alignment horizontal="right" vertical="center"/>
    </xf>
    <xf numFmtId="0" fontId="6" fillId="0" borderId="42" xfId="0" applyFont="1" applyFill="1" applyBorder="1" applyAlignment="1">
      <alignment horizontal="right" vertical="center"/>
    </xf>
    <xf numFmtId="0" fontId="13" fillId="0" borderId="15" xfId="0" applyFont="1" applyFill="1" applyBorder="1" applyAlignment="1">
      <alignment horizontal="center" vertical="center"/>
    </xf>
    <xf numFmtId="0" fontId="13" fillId="0" borderId="12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right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7" fillId="0" borderId="44" xfId="0" applyFont="1" applyFill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2" fillId="0" borderId="56" xfId="0" applyFont="1" applyBorder="1" applyAlignment="1">
      <alignment horizontal="center"/>
    </xf>
    <xf numFmtId="0" fontId="2" fillId="0" borderId="57" xfId="0" applyFont="1" applyBorder="1" applyAlignment="1">
      <alignment horizontal="center"/>
    </xf>
    <xf numFmtId="0" fontId="2" fillId="0" borderId="58" xfId="0" applyFont="1" applyBorder="1" applyAlignment="1">
      <alignment horizontal="center"/>
    </xf>
    <xf numFmtId="0" fontId="2" fillId="0" borderId="54" xfId="0" applyFont="1" applyFill="1" applyBorder="1" applyAlignment="1">
      <alignment horizontal="center"/>
    </xf>
    <xf numFmtId="0" fontId="2" fillId="0" borderId="55" xfId="0" applyFont="1" applyFill="1" applyBorder="1" applyAlignment="1">
      <alignment horizontal="center"/>
    </xf>
    <xf numFmtId="0" fontId="2" fillId="0" borderId="52" xfId="0" applyFont="1" applyFill="1" applyBorder="1" applyAlignment="1">
      <alignment horizontal="center"/>
    </xf>
    <xf numFmtId="0" fontId="6" fillId="0" borderId="48" xfId="0" applyFont="1" applyFill="1" applyBorder="1" applyAlignment="1">
      <alignment horizontal="center" wrapText="1"/>
    </xf>
    <xf numFmtId="0" fontId="6" fillId="0" borderId="49" xfId="0" applyFont="1" applyFill="1" applyBorder="1" applyAlignment="1">
      <alignment horizontal="center" wrapText="1"/>
    </xf>
    <xf numFmtId="0" fontId="6" fillId="0" borderId="60" xfId="0" applyFont="1" applyFill="1" applyBorder="1" applyAlignment="1">
      <alignment horizontal="center" wrapText="1"/>
    </xf>
    <xf numFmtId="0" fontId="6" fillId="0" borderId="48" xfId="0" applyFont="1" applyBorder="1" applyAlignment="1">
      <alignment horizontal="center"/>
    </xf>
    <xf numFmtId="0" fontId="6" fillId="0" borderId="49" xfId="0" applyFont="1" applyBorder="1" applyAlignment="1">
      <alignment horizontal="center"/>
    </xf>
    <xf numFmtId="0" fontId="6" fillId="0" borderId="6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10" xfId="0" applyFont="1" applyFill="1" applyBorder="1" applyAlignment="1">
      <alignment horizontal="right" vertical="center"/>
    </xf>
    <xf numFmtId="0" fontId="2" fillId="3" borderId="9" xfId="0" applyNumberFormat="1" applyFont="1" applyFill="1" applyBorder="1" applyAlignment="1">
      <alignment horizontal="right"/>
    </xf>
    <xf numFmtId="2" fontId="2" fillId="3" borderId="9" xfId="0" applyNumberFormat="1" applyFont="1" applyFill="1" applyBorder="1"/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97"/>
  <sheetViews>
    <sheetView tabSelected="1" topLeftCell="A64" zoomScale="68" zoomScaleNormal="68" workbookViewId="0">
      <selection activeCell="V35" sqref="V35"/>
    </sheetView>
  </sheetViews>
  <sheetFormatPr defaultColWidth="8.88671875" defaultRowHeight="15.6" x14ac:dyDescent="0.3"/>
  <cols>
    <col min="1" max="1" width="4.5546875" style="1" customWidth="1"/>
    <col min="2" max="2" width="31" style="1" customWidth="1"/>
    <col min="3" max="3" width="15.88671875" style="3" customWidth="1"/>
    <col min="4" max="4" width="15.88671875" style="44" customWidth="1"/>
    <col min="5" max="5" width="15.88671875" style="3" customWidth="1"/>
    <col min="6" max="6" width="17.88671875" style="4" customWidth="1"/>
    <col min="7" max="7" width="7.6640625" style="4" customWidth="1"/>
    <col min="8" max="8" width="8" style="4" customWidth="1"/>
    <col min="9" max="9" width="13.44140625" style="2" customWidth="1"/>
    <col min="10" max="10" width="14.44140625" style="4" customWidth="1"/>
    <col min="11" max="11" width="13.109375" style="4" customWidth="1"/>
    <col min="12" max="12" width="14.109375" style="4" customWidth="1"/>
    <col min="13" max="13" width="16.5546875" style="4" customWidth="1"/>
    <col min="14" max="14" width="13" style="4" customWidth="1"/>
    <col min="15" max="15" width="12.88671875" style="4" customWidth="1"/>
    <col min="16" max="16" width="13.44140625" style="4" customWidth="1"/>
    <col min="17" max="17" width="13.33203125" style="4" customWidth="1"/>
    <col min="18" max="18" width="14.5546875" style="4" hidden="1" customWidth="1"/>
    <col min="19" max="19" width="15.109375" style="4" customWidth="1"/>
    <col min="20" max="20" width="15.44140625" style="4" customWidth="1"/>
    <col min="21" max="16384" width="8.88671875" style="4"/>
  </cols>
  <sheetData>
    <row r="1" spans="1:20" ht="48" customHeight="1" x14ac:dyDescent="0.25">
      <c r="A1" s="14"/>
      <c r="B1" s="14"/>
      <c r="C1" s="15"/>
      <c r="D1" s="42"/>
      <c r="E1" s="15"/>
      <c r="F1" s="16"/>
      <c r="G1" s="16"/>
      <c r="H1" s="159"/>
      <c r="I1" s="160"/>
    </row>
    <row r="2" spans="1:20" s="7" customFormat="1" ht="15" customHeight="1" x14ac:dyDescent="0.25">
      <c r="A2" s="14"/>
      <c r="B2" s="14"/>
      <c r="C2" s="15"/>
      <c r="D2" s="42"/>
      <c r="E2" s="15"/>
      <c r="F2" s="16"/>
      <c r="G2" s="16"/>
      <c r="H2" s="190"/>
      <c r="I2" s="190"/>
    </row>
    <row r="3" spans="1:20" ht="15.75" x14ac:dyDescent="0.25">
      <c r="A3" s="167"/>
      <c r="B3" s="167"/>
      <c r="C3" s="15"/>
      <c r="D3" s="42"/>
      <c r="E3" s="15"/>
      <c r="F3" s="165"/>
      <c r="G3" s="165"/>
      <c r="H3" s="165"/>
      <c r="I3" s="165"/>
    </row>
    <row r="4" spans="1:20" ht="29.25" customHeight="1" x14ac:dyDescent="0.3">
      <c r="A4" s="168"/>
      <c r="B4" s="168"/>
      <c r="C4" s="15"/>
      <c r="D4" s="42"/>
      <c r="E4" s="15"/>
      <c r="F4" s="166"/>
      <c r="G4" s="166"/>
      <c r="H4" s="166"/>
      <c r="I4" s="166"/>
    </row>
    <row r="5" spans="1:20" x14ac:dyDescent="0.3">
      <c r="A5" s="168"/>
      <c r="B5" s="168"/>
      <c r="C5" s="15"/>
      <c r="D5" s="42"/>
      <c r="E5" s="15"/>
      <c r="F5" s="165"/>
      <c r="G5" s="165"/>
      <c r="H5" s="165"/>
      <c r="I5" s="165"/>
    </row>
    <row r="6" spans="1:20" ht="6" customHeight="1" x14ac:dyDescent="0.25">
      <c r="A6" s="14"/>
      <c r="B6" s="14"/>
      <c r="C6" s="15"/>
      <c r="D6" s="42"/>
      <c r="E6" s="15"/>
      <c r="F6" s="16"/>
      <c r="G6" s="17"/>
      <c r="H6" s="17"/>
      <c r="I6" s="18"/>
    </row>
    <row r="7" spans="1:20" ht="33.75" customHeight="1" x14ac:dyDescent="0.25">
      <c r="A7" s="164"/>
      <c r="B7" s="164"/>
      <c r="C7" s="164"/>
      <c r="D7" s="164"/>
      <c r="E7" s="164"/>
      <c r="F7" s="164"/>
      <c r="G7" s="164"/>
      <c r="H7" s="164"/>
      <c r="I7" s="164"/>
    </row>
    <row r="8" spans="1:20" ht="64.5" customHeight="1" x14ac:dyDescent="0.3">
      <c r="A8" s="169" t="s">
        <v>144</v>
      </c>
      <c r="B8" s="169"/>
      <c r="C8" s="169"/>
      <c r="D8" s="169"/>
      <c r="E8" s="169"/>
      <c r="F8" s="169"/>
      <c r="G8" s="169"/>
      <c r="H8" s="169"/>
      <c r="I8" s="169"/>
    </row>
    <row r="9" spans="1:20" ht="41.25" customHeight="1" thickBot="1" x14ac:dyDescent="0.3">
      <c r="A9" s="164"/>
      <c r="B9" s="164"/>
      <c r="C9" s="164"/>
      <c r="D9" s="164"/>
      <c r="E9" s="164"/>
      <c r="F9" s="164"/>
      <c r="G9" s="164"/>
      <c r="H9" s="164"/>
      <c r="I9" s="164"/>
    </row>
    <row r="10" spans="1:20" ht="33.75" customHeight="1" thickBot="1" x14ac:dyDescent="0.35">
      <c r="A10" s="19"/>
      <c r="B10" s="19"/>
      <c r="C10" s="20"/>
      <c r="D10" s="20"/>
      <c r="E10" s="20"/>
      <c r="F10" s="21"/>
      <c r="G10" s="21"/>
      <c r="H10" s="21"/>
      <c r="I10" s="21"/>
      <c r="J10" s="237" t="s">
        <v>109</v>
      </c>
      <c r="K10" s="238"/>
      <c r="L10" s="238"/>
      <c r="M10" s="238"/>
      <c r="N10" s="238"/>
      <c r="O10" s="238"/>
      <c r="P10" s="238"/>
      <c r="Q10" s="238"/>
      <c r="R10" s="239"/>
      <c r="S10" s="243" t="s">
        <v>117</v>
      </c>
      <c r="T10" s="246" t="s">
        <v>116</v>
      </c>
    </row>
    <row r="11" spans="1:20" ht="16.2" customHeight="1" thickBot="1" x14ac:dyDescent="0.35">
      <c r="A11" s="170" t="s">
        <v>0</v>
      </c>
      <c r="B11" s="172" t="s">
        <v>18</v>
      </c>
      <c r="C11" s="172" t="s">
        <v>9</v>
      </c>
      <c r="D11" s="185" t="s">
        <v>41</v>
      </c>
      <c r="E11" s="172" t="s">
        <v>17</v>
      </c>
      <c r="F11" s="193" t="s">
        <v>1</v>
      </c>
      <c r="G11" s="193"/>
      <c r="H11" s="193"/>
      <c r="I11" s="174" t="s">
        <v>10</v>
      </c>
      <c r="J11" s="240" t="s">
        <v>145</v>
      </c>
      <c r="K11" s="241"/>
      <c r="L11" s="240" t="s">
        <v>146</v>
      </c>
      <c r="M11" s="242"/>
      <c r="N11" s="241"/>
      <c r="O11" s="240" t="s">
        <v>147</v>
      </c>
      <c r="P11" s="242"/>
      <c r="Q11" s="241"/>
      <c r="R11" s="107"/>
      <c r="S11" s="244"/>
      <c r="T11" s="247"/>
    </row>
    <row r="12" spans="1:20" ht="84.75" customHeight="1" thickBot="1" x14ac:dyDescent="0.35">
      <c r="A12" s="171"/>
      <c r="B12" s="173"/>
      <c r="C12" s="173"/>
      <c r="D12" s="186"/>
      <c r="E12" s="173"/>
      <c r="F12" s="22" t="s">
        <v>5</v>
      </c>
      <c r="G12" s="22" t="s">
        <v>7</v>
      </c>
      <c r="H12" s="22" t="s">
        <v>8</v>
      </c>
      <c r="I12" s="175"/>
      <c r="J12" s="149" t="s">
        <v>118</v>
      </c>
      <c r="K12" s="151" t="s">
        <v>119</v>
      </c>
      <c r="L12" s="153" t="s">
        <v>110</v>
      </c>
      <c r="M12" s="155" t="s">
        <v>111</v>
      </c>
      <c r="N12" s="157" t="s">
        <v>112</v>
      </c>
      <c r="O12" s="140" t="s">
        <v>113</v>
      </c>
      <c r="P12" s="142" t="s">
        <v>114</v>
      </c>
      <c r="Q12" s="144" t="s">
        <v>115</v>
      </c>
      <c r="R12" s="146" t="s">
        <v>120</v>
      </c>
      <c r="S12" s="244"/>
      <c r="T12" s="247"/>
    </row>
    <row r="13" spans="1:20" ht="16.2" thickBot="1" x14ac:dyDescent="0.35">
      <c r="A13" s="23">
        <v>1</v>
      </c>
      <c r="B13" s="24">
        <v>2</v>
      </c>
      <c r="C13" s="24">
        <v>3</v>
      </c>
      <c r="D13" s="24">
        <v>4</v>
      </c>
      <c r="E13" s="24">
        <v>5</v>
      </c>
      <c r="F13" s="24">
        <v>6</v>
      </c>
      <c r="G13" s="24">
        <v>7</v>
      </c>
      <c r="H13" s="24">
        <v>8</v>
      </c>
      <c r="I13" s="25">
        <v>9</v>
      </c>
      <c r="J13" s="150"/>
      <c r="K13" s="152"/>
      <c r="L13" s="154"/>
      <c r="M13" s="156"/>
      <c r="N13" s="158"/>
      <c r="O13" s="141"/>
      <c r="P13" s="143"/>
      <c r="Q13" s="145"/>
      <c r="R13" s="147"/>
      <c r="S13" s="244"/>
      <c r="T13" s="247"/>
    </row>
    <row r="14" spans="1:20" ht="17.25" customHeight="1" thickBot="1" x14ac:dyDescent="0.35">
      <c r="A14" s="176" t="s">
        <v>16</v>
      </c>
      <c r="B14" s="177"/>
      <c r="C14" s="177"/>
      <c r="D14" s="177"/>
      <c r="E14" s="177"/>
      <c r="F14" s="177"/>
      <c r="G14" s="177"/>
      <c r="H14" s="177"/>
      <c r="I14" s="178"/>
      <c r="J14" s="150"/>
      <c r="K14" s="152"/>
      <c r="L14" s="154"/>
      <c r="M14" s="156"/>
      <c r="N14" s="158"/>
      <c r="O14" s="141"/>
      <c r="P14" s="143"/>
      <c r="Q14" s="145"/>
      <c r="R14" s="148"/>
      <c r="S14" s="245"/>
      <c r="T14" s="248"/>
    </row>
    <row r="15" spans="1:20" s="10" customFormat="1" ht="93.75" customHeight="1" x14ac:dyDescent="0.3">
      <c r="A15" s="12">
        <v>1</v>
      </c>
      <c r="B15" s="67" t="s">
        <v>33</v>
      </c>
      <c r="C15" s="53" t="s">
        <v>106</v>
      </c>
      <c r="D15" s="53" t="s">
        <v>46</v>
      </c>
      <c r="E15" s="54" t="s">
        <v>37</v>
      </c>
      <c r="F15" s="53" t="s">
        <v>34</v>
      </c>
      <c r="G15" s="53">
        <v>1010</v>
      </c>
      <c r="H15" s="53">
        <v>5.5</v>
      </c>
      <c r="I15" s="55">
        <v>666</v>
      </c>
      <c r="J15" s="114">
        <v>205863.08</v>
      </c>
      <c r="K15" s="115">
        <v>120896.82</v>
      </c>
      <c r="L15" s="122">
        <v>163346.82999999999</v>
      </c>
      <c r="M15" s="123">
        <v>82876.52</v>
      </c>
      <c r="N15" s="124">
        <v>19904.740000000002</v>
      </c>
      <c r="O15" s="132">
        <v>51236.86</v>
      </c>
      <c r="P15" s="68"/>
      <c r="Q15" s="133">
        <v>21771.78</v>
      </c>
      <c r="R15" s="108"/>
      <c r="S15" s="111">
        <f>J15+K15+L15+M15+N15+O15+P15+Q15+R15</f>
        <v>665896.63</v>
      </c>
      <c r="T15" s="111">
        <f>666000-S15</f>
        <v>103.36999999999534</v>
      </c>
    </row>
    <row r="16" spans="1:20" s="40" customFormat="1" ht="22.5" customHeight="1" x14ac:dyDescent="0.3">
      <c r="A16" s="51"/>
      <c r="B16" s="182" t="s">
        <v>98</v>
      </c>
      <c r="C16" s="183"/>
      <c r="D16" s="183"/>
      <c r="E16" s="183"/>
      <c r="F16" s="183"/>
      <c r="G16" s="183"/>
      <c r="H16" s="184"/>
      <c r="I16" s="52">
        <v>25</v>
      </c>
      <c r="J16" s="114"/>
      <c r="K16" s="116"/>
      <c r="L16" s="122"/>
      <c r="M16" s="123"/>
      <c r="N16" s="124"/>
      <c r="O16" s="132"/>
      <c r="P16" s="68"/>
      <c r="Q16" s="133"/>
      <c r="R16" s="108"/>
      <c r="S16" s="104"/>
      <c r="T16" s="104"/>
    </row>
    <row r="17" spans="1:20" s="43" customFormat="1" ht="118.5" customHeight="1" x14ac:dyDescent="0.3">
      <c r="A17" s="12">
        <v>2</v>
      </c>
      <c r="B17" s="56" t="s">
        <v>97</v>
      </c>
      <c r="C17" s="67" t="s">
        <v>56</v>
      </c>
      <c r="D17" s="66">
        <v>2017</v>
      </c>
      <c r="E17" s="57">
        <v>2600</v>
      </c>
      <c r="F17" s="67" t="s">
        <v>65</v>
      </c>
      <c r="G17" s="63">
        <v>1136</v>
      </c>
      <c r="H17" s="64">
        <v>6.5</v>
      </c>
      <c r="I17" s="13">
        <v>668.8</v>
      </c>
      <c r="J17" s="114"/>
      <c r="K17" s="116"/>
      <c r="L17" s="122"/>
      <c r="M17" s="123"/>
      <c r="N17" s="124">
        <v>115152.64</v>
      </c>
      <c r="O17" s="132">
        <v>223981.72</v>
      </c>
      <c r="P17" s="68">
        <v>215745.46</v>
      </c>
      <c r="Q17" s="133">
        <v>113920.18</v>
      </c>
      <c r="R17" s="108"/>
      <c r="S17" s="104">
        <f>J17+K17+L17+M17+N17+O17+P17+Q17+R17</f>
        <v>668800</v>
      </c>
      <c r="T17" s="104">
        <f>668800-S17</f>
        <v>0</v>
      </c>
    </row>
    <row r="18" spans="1:20" s="43" customFormat="1" ht="21.75" customHeight="1" x14ac:dyDescent="0.3">
      <c r="A18" s="12"/>
      <c r="B18" s="187" t="s">
        <v>98</v>
      </c>
      <c r="C18" s="188"/>
      <c r="D18" s="188"/>
      <c r="E18" s="188"/>
      <c r="F18" s="188"/>
      <c r="G18" s="188"/>
      <c r="H18" s="189"/>
      <c r="I18" s="13">
        <v>56.5</v>
      </c>
      <c r="J18" s="114"/>
      <c r="K18" s="116"/>
      <c r="L18" s="122"/>
      <c r="M18" s="123"/>
      <c r="N18" s="124"/>
      <c r="O18" s="132"/>
      <c r="P18" s="68"/>
      <c r="Q18" s="133"/>
      <c r="R18" s="108"/>
      <c r="S18" s="104"/>
      <c r="T18" s="104"/>
    </row>
    <row r="19" spans="1:20" s="39" customFormat="1" ht="132" customHeight="1" x14ac:dyDescent="0.3">
      <c r="A19" s="12">
        <v>3</v>
      </c>
      <c r="B19" s="67" t="s">
        <v>53</v>
      </c>
      <c r="C19" s="67" t="s">
        <v>52</v>
      </c>
      <c r="D19" s="67" t="s">
        <v>46</v>
      </c>
      <c r="E19" s="57">
        <v>15</v>
      </c>
      <c r="F19" s="67" t="s">
        <v>54</v>
      </c>
      <c r="G19" s="67">
        <v>589</v>
      </c>
      <c r="H19" s="58" t="s">
        <v>55</v>
      </c>
      <c r="I19" s="13">
        <v>2.5</v>
      </c>
      <c r="J19" s="114"/>
      <c r="K19" s="116"/>
      <c r="L19" s="122"/>
      <c r="M19" s="123"/>
      <c r="N19" s="124"/>
      <c r="O19" s="132"/>
      <c r="P19" s="68"/>
      <c r="Q19" s="133">
        <v>2480.5</v>
      </c>
      <c r="R19" s="108"/>
      <c r="S19" s="104">
        <f>J19+K19+L19+M19+N19+O19+P19+Q19+R19</f>
        <v>2480.5</v>
      </c>
      <c r="T19" s="104">
        <f>2500-S19</f>
        <v>19.5</v>
      </c>
    </row>
    <row r="20" spans="1:20" ht="19.2" customHeight="1" x14ac:dyDescent="0.3">
      <c r="A20" s="179" t="s">
        <v>42</v>
      </c>
      <c r="B20" s="180"/>
      <c r="C20" s="180"/>
      <c r="D20" s="180"/>
      <c r="E20" s="180"/>
      <c r="F20" s="180"/>
      <c r="G20" s="180"/>
      <c r="H20" s="181"/>
      <c r="I20" s="26">
        <f>I19+I15+I17</f>
        <v>1337.3</v>
      </c>
      <c r="J20" s="114"/>
      <c r="K20" s="116"/>
      <c r="L20" s="122"/>
      <c r="M20" s="123"/>
      <c r="N20" s="124"/>
      <c r="O20" s="132"/>
      <c r="P20" s="68"/>
      <c r="Q20" s="133"/>
      <c r="R20" s="108"/>
      <c r="S20" s="104"/>
      <c r="T20" s="104"/>
    </row>
    <row r="21" spans="1:20" ht="19.2" customHeight="1" x14ac:dyDescent="0.3">
      <c r="A21" s="179" t="s">
        <v>43</v>
      </c>
      <c r="B21" s="191"/>
      <c r="C21" s="191"/>
      <c r="D21" s="191"/>
      <c r="E21" s="191"/>
      <c r="F21" s="191"/>
      <c r="G21" s="191"/>
      <c r="H21" s="192"/>
      <c r="I21" s="47">
        <f>I17</f>
        <v>668.8</v>
      </c>
      <c r="J21" s="117"/>
      <c r="K21" s="116"/>
      <c r="L21" s="122"/>
      <c r="M21" s="123"/>
      <c r="N21" s="124"/>
      <c r="O21" s="132"/>
      <c r="P21" s="68"/>
      <c r="Q21" s="133"/>
      <c r="R21" s="108"/>
      <c r="S21" s="104"/>
      <c r="T21" s="104"/>
    </row>
    <row r="22" spans="1:20" ht="19.2" customHeight="1" thickBot="1" x14ac:dyDescent="0.35">
      <c r="A22" s="161" t="s">
        <v>98</v>
      </c>
      <c r="B22" s="162"/>
      <c r="C22" s="162"/>
      <c r="D22" s="162"/>
      <c r="E22" s="162"/>
      <c r="F22" s="162"/>
      <c r="G22" s="162"/>
      <c r="H22" s="163"/>
      <c r="I22" s="27">
        <f>I16+I18</f>
        <v>81.5</v>
      </c>
      <c r="J22" s="114"/>
      <c r="K22" s="116"/>
      <c r="L22" s="122"/>
      <c r="M22" s="123"/>
      <c r="N22" s="124"/>
      <c r="O22" s="132"/>
      <c r="P22" s="68"/>
      <c r="Q22" s="133"/>
      <c r="R22" s="108"/>
      <c r="S22" s="104"/>
      <c r="T22" s="104"/>
    </row>
    <row r="23" spans="1:20" ht="17.850000000000001" customHeight="1" thickBot="1" x14ac:dyDescent="0.4">
      <c r="A23" s="194" t="s">
        <v>2</v>
      </c>
      <c r="B23" s="195"/>
      <c r="C23" s="195"/>
      <c r="D23" s="195"/>
      <c r="E23" s="195"/>
      <c r="F23" s="195"/>
      <c r="G23" s="195"/>
      <c r="H23" s="195"/>
      <c r="I23" s="196"/>
      <c r="J23" s="114"/>
      <c r="K23" s="116"/>
      <c r="L23" s="122"/>
      <c r="M23" s="123"/>
      <c r="N23" s="124"/>
      <c r="O23" s="132"/>
      <c r="P23" s="68"/>
      <c r="Q23" s="133"/>
      <c r="R23" s="108"/>
      <c r="S23" s="104"/>
      <c r="T23" s="104"/>
    </row>
    <row r="24" spans="1:20" ht="57" customHeight="1" x14ac:dyDescent="0.3">
      <c r="A24" s="59">
        <v>4</v>
      </c>
      <c r="B24" s="53" t="s">
        <v>21</v>
      </c>
      <c r="C24" s="199" t="s">
        <v>6</v>
      </c>
      <c r="D24" s="200"/>
      <c r="E24" s="201"/>
      <c r="F24" s="53" t="s">
        <v>22</v>
      </c>
      <c r="G24" s="197" t="s">
        <v>47</v>
      </c>
      <c r="H24" s="198"/>
      <c r="I24" s="55">
        <v>40</v>
      </c>
      <c r="J24" s="114">
        <v>3035.99</v>
      </c>
      <c r="K24" s="116"/>
      <c r="L24" s="122">
        <v>21639.119999999999</v>
      </c>
      <c r="M24" s="123"/>
      <c r="N24" s="124">
        <v>3756.28</v>
      </c>
      <c r="O24" s="132"/>
      <c r="P24" s="68"/>
      <c r="Q24" s="133">
        <v>11544.34</v>
      </c>
      <c r="R24" s="108"/>
      <c r="S24" s="104">
        <f>J24+K24+L24+M24+N24+O24+P24+Q24+R24</f>
        <v>39975.729999999996</v>
      </c>
      <c r="T24" s="104">
        <f>40000-S24</f>
        <v>24.270000000004075</v>
      </c>
    </row>
    <row r="25" spans="1:20" ht="54.75" customHeight="1" x14ac:dyDescent="0.3">
      <c r="A25" s="12">
        <v>5</v>
      </c>
      <c r="B25" s="67" t="s">
        <v>23</v>
      </c>
      <c r="C25" s="202" t="s">
        <v>24</v>
      </c>
      <c r="D25" s="203"/>
      <c r="E25" s="204"/>
      <c r="F25" s="67" t="s">
        <v>22</v>
      </c>
      <c r="G25" s="202" t="s">
        <v>48</v>
      </c>
      <c r="H25" s="204"/>
      <c r="I25" s="13">
        <v>170.9</v>
      </c>
      <c r="J25" s="114">
        <v>52681.13</v>
      </c>
      <c r="K25" s="116">
        <v>31966.7</v>
      </c>
      <c r="L25" s="122"/>
      <c r="M25" s="123"/>
      <c r="N25" s="124">
        <v>5047.74</v>
      </c>
      <c r="O25" s="132">
        <v>45992.89</v>
      </c>
      <c r="P25" s="68">
        <v>13589.78</v>
      </c>
      <c r="Q25" s="133">
        <v>21522.09</v>
      </c>
      <c r="R25" s="108"/>
      <c r="S25" s="104">
        <f>J25+K25+L25+M25+N25+O25+P25+Q25+R25</f>
        <v>170800.33000000002</v>
      </c>
      <c r="T25" s="104">
        <f>170900-S25</f>
        <v>99.669999999983702</v>
      </c>
    </row>
    <row r="26" spans="1:20" s="39" customFormat="1" ht="63.75" customHeight="1" x14ac:dyDescent="0.3">
      <c r="A26" s="59">
        <v>6</v>
      </c>
      <c r="B26" s="67" t="s">
        <v>38</v>
      </c>
      <c r="C26" s="202" t="s">
        <v>24</v>
      </c>
      <c r="D26" s="203"/>
      <c r="E26" s="204"/>
      <c r="F26" s="67" t="s">
        <v>22</v>
      </c>
      <c r="G26" s="202" t="s">
        <v>48</v>
      </c>
      <c r="H26" s="204"/>
      <c r="I26" s="13">
        <v>68.5</v>
      </c>
      <c r="J26" s="114">
        <v>12638.24</v>
      </c>
      <c r="K26" s="116">
        <v>2817.68</v>
      </c>
      <c r="L26" s="122">
        <v>3666.63</v>
      </c>
      <c r="M26" s="123">
        <v>6668.18</v>
      </c>
      <c r="N26" s="124">
        <v>4359.1899999999996</v>
      </c>
      <c r="O26" s="132">
        <v>3453.56</v>
      </c>
      <c r="P26" s="68"/>
      <c r="Q26" s="133">
        <v>34840.99</v>
      </c>
      <c r="R26" s="108"/>
      <c r="S26" s="104">
        <f>J26+K26+L26+M26+N26+O26+P26+Q26+R26</f>
        <v>68444.47</v>
      </c>
      <c r="T26" s="104">
        <f>68500-S26</f>
        <v>55.529999999998836</v>
      </c>
    </row>
    <row r="27" spans="1:20" ht="15.6" customHeight="1" x14ac:dyDescent="0.3">
      <c r="A27" s="12"/>
      <c r="B27" s="187" t="s">
        <v>14</v>
      </c>
      <c r="C27" s="188"/>
      <c r="D27" s="188"/>
      <c r="E27" s="188"/>
      <c r="F27" s="188"/>
      <c r="G27" s="188"/>
      <c r="H27" s="189"/>
      <c r="I27" s="11">
        <f>I24+I25+I26</f>
        <v>279.39999999999998</v>
      </c>
      <c r="J27" s="114"/>
      <c r="K27" s="116"/>
      <c r="L27" s="122"/>
      <c r="M27" s="123"/>
      <c r="N27" s="124"/>
      <c r="O27" s="132"/>
      <c r="P27" s="68"/>
      <c r="Q27" s="133"/>
      <c r="R27" s="108"/>
      <c r="S27" s="104"/>
      <c r="T27" s="104"/>
    </row>
    <row r="28" spans="1:20" s="8" customFormat="1" ht="45" customHeight="1" x14ac:dyDescent="0.3">
      <c r="A28" s="12">
        <v>7</v>
      </c>
      <c r="B28" s="72" t="s">
        <v>25</v>
      </c>
      <c r="C28" s="205" t="s">
        <v>6</v>
      </c>
      <c r="D28" s="205"/>
      <c r="E28" s="205"/>
      <c r="F28" s="53" t="s">
        <v>22</v>
      </c>
      <c r="G28" s="202" t="s">
        <v>49</v>
      </c>
      <c r="H28" s="204"/>
      <c r="I28" s="55">
        <v>129</v>
      </c>
      <c r="J28" s="114"/>
      <c r="K28" s="116">
        <v>120000</v>
      </c>
      <c r="L28" s="122"/>
      <c r="M28" s="123">
        <v>8478.2099999999991</v>
      </c>
      <c r="N28" s="124"/>
      <c r="O28" s="132"/>
      <c r="P28" s="68"/>
      <c r="Q28" s="133">
        <v>520.99</v>
      </c>
      <c r="R28" s="108"/>
      <c r="S28" s="104">
        <f>J28+K28+L28+M28+N28+O28+P28+Q28+R28</f>
        <v>128999.2</v>
      </c>
      <c r="T28" s="104">
        <f>129000-S28</f>
        <v>0.80000000000291038</v>
      </c>
    </row>
    <row r="29" spans="1:20" s="43" customFormat="1" ht="45" customHeight="1" x14ac:dyDescent="0.3">
      <c r="A29" s="12">
        <v>8</v>
      </c>
      <c r="B29" s="65" t="s">
        <v>57</v>
      </c>
      <c r="C29" s="205" t="s">
        <v>6</v>
      </c>
      <c r="D29" s="205"/>
      <c r="E29" s="205"/>
      <c r="F29" s="53" t="s">
        <v>22</v>
      </c>
      <c r="G29" s="202" t="s">
        <v>49</v>
      </c>
      <c r="H29" s="204"/>
      <c r="I29" s="55">
        <v>32.299999999999997</v>
      </c>
      <c r="J29" s="114"/>
      <c r="K29" s="116"/>
      <c r="L29" s="122"/>
      <c r="M29" s="123"/>
      <c r="N29" s="124">
        <v>14596.71</v>
      </c>
      <c r="O29" s="132"/>
      <c r="P29" s="68"/>
      <c r="Q29" s="256">
        <v>17613</v>
      </c>
      <c r="R29" s="108"/>
      <c r="S29" s="104">
        <f>J29+K29+L29+M29+N29+O29+P29+Q29+R29</f>
        <v>32209.71</v>
      </c>
      <c r="T29" s="104">
        <f>32300-S29</f>
        <v>90.290000000000873</v>
      </c>
    </row>
    <row r="30" spans="1:20" ht="56.4" customHeight="1" x14ac:dyDescent="0.3">
      <c r="A30" s="12">
        <v>9</v>
      </c>
      <c r="B30" s="67" t="s">
        <v>26</v>
      </c>
      <c r="C30" s="202" t="s">
        <v>24</v>
      </c>
      <c r="D30" s="203"/>
      <c r="E30" s="204"/>
      <c r="F30" s="67" t="s">
        <v>22</v>
      </c>
      <c r="G30" s="202" t="s">
        <v>50</v>
      </c>
      <c r="H30" s="204"/>
      <c r="I30" s="13">
        <v>101</v>
      </c>
      <c r="J30" s="114"/>
      <c r="K30" s="116"/>
      <c r="L30" s="125">
        <v>20382.8</v>
      </c>
      <c r="M30" s="123"/>
      <c r="N30" s="124">
        <v>19628.73</v>
      </c>
      <c r="O30" s="132">
        <v>2039.48</v>
      </c>
      <c r="P30" s="68"/>
      <c r="Q30" s="133">
        <v>58877.94</v>
      </c>
      <c r="R30" s="108"/>
      <c r="S30" s="104">
        <f>J30+K30+L30+M30+N30+O30+P30+Q30+R30</f>
        <v>100928.95000000001</v>
      </c>
      <c r="T30" s="104">
        <f>101000-S30</f>
        <v>71.049999999988358</v>
      </c>
    </row>
    <row r="31" spans="1:20" ht="15.6" customHeight="1" x14ac:dyDescent="0.3">
      <c r="A31" s="12"/>
      <c r="B31" s="187" t="s">
        <v>15</v>
      </c>
      <c r="C31" s="188"/>
      <c r="D31" s="188"/>
      <c r="E31" s="188"/>
      <c r="F31" s="188"/>
      <c r="G31" s="188"/>
      <c r="H31" s="189"/>
      <c r="I31" s="11">
        <f>I30+I28+I29</f>
        <v>262.3</v>
      </c>
      <c r="J31" s="114"/>
      <c r="K31" s="116"/>
      <c r="L31" s="122"/>
      <c r="M31" s="123"/>
      <c r="N31" s="124"/>
      <c r="O31" s="132"/>
      <c r="P31" s="68"/>
      <c r="Q31" s="133"/>
      <c r="R31" s="108"/>
      <c r="S31" s="104"/>
      <c r="T31" s="104"/>
    </row>
    <row r="32" spans="1:20" s="8" customFormat="1" ht="30" customHeight="1" x14ac:dyDescent="0.3">
      <c r="A32" s="12">
        <v>10</v>
      </c>
      <c r="B32" s="65" t="s">
        <v>27</v>
      </c>
      <c r="C32" s="202" t="s">
        <v>24</v>
      </c>
      <c r="D32" s="203"/>
      <c r="E32" s="204"/>
      <c r="F32" s="67" t="s">
        <v>28</v>
      </c>
      <c r="G32" s="202" t="s">
        <v>51</v>
      </c>
      <c r="H32" s="204"/>
      <c r="I32" s="13">
        <v>43.1</v>
      </c>
      <c r="J32" s="114"/>
      <c r="K32" s="116">
        <v>41549.19</v>
      </c>
      <c r="L32" s="122"/>
      <c r="M32" s="123"/>
      <c r="N32" s="124">
        <v>1250.42</v>
      </c>
      <c r="O32" s="132"/>
      <c r="P32" s="68"/>
      <c r="Q32" s="133"/>
      <c r="R32" s="108"/>
      <c r="S32" s="104">
        <f t="shared" ref="S32:S52" si="0">J32+K32+L32+M32+N32+O32+P32+Q32+R32</f>
        <v>42799.61</v>
      </c>
      <c r="T32" s="104">
        <f>43100-S32</f>
        <v>300.38999999999942</v>
      </c>
    </row>
    <row r="33" spans="1:20" s="8" customFormat="1" ht="31.5" customHeight="1" x14ac:dyDescent="0.3">
      <c r="A33" s="12">
        <v>11</v>
      </c>
      <c r="B33" s="65" t="s">
        <v>35</v>
      </c>
      <c r="C33" s="202" t="s">
        <v>24</v>
      </c>
      <c r="D33" s="203"/>
      <c r="E33" s="204"/>
      <c r="F33" s="67" t="s">
        <v>28</v>
      </c>
      <c r="G33" s="202" t="s">
        <v>29</v>
      </c>
      <c r="H33" s="204"/>
      <c r="I33" s="13">
        <v>10.3</v>
      </c>
      <c r="J33" s="114">
        <v>3098.89</v>
      </c>
      <c r="K33" s="116"/>
      <c r="L33" s="122">
        <v>4711.05</v>
      </c>
      <c r="M33" s="123"/>
      <c r="N33" s="124"/>
      <c r="O33" s="132">
        <v>2490.06</v>
      </c>
      <c r="P33" s="68"/>
      <c r="Q33" s="133"/>
      <c r="R33" s="108"/>
      <c r="S33" s="104">
        <f t="shared" si="0"/>
        <v>10300</v>
      </c>
      <c r="T33" s="71">
        <f>10300-S33</f>
        <v>0</v>
      </c>
    </row>
    <row r="34" spans="1:20" s="8" customFormat="1" ht="15.6" customHeight="1" x14ac:dyDescent="0.3">
      <c r="A34" s="12"/>
      <c r="B34" s="225" t="s">
        <v>98</v>
      </c>
      <c r="C34" s="225"/>
      <c r="D34" s="225"/>
      <c r="E34" s="225"/>
      <c r="F34" s="225"/>
      <c r="G34" s="225"/>
      <c r="H34" s="225"/>
      <c r="I34" s="11">
        <f>SUM(I32:I33)</f>
        <v>53.400000000000006</v>
      </c>
      <c r="J34" s="114"/>
      <c r="K34" s="116"/>
      <c r="L34" s="122"/>
      <c r="M34" s="123"/>
      <c r="N34" s="124"/>
      <c r="O34" s="132"/>
      <c r="P34" s="68"/>
      <c r="Q34" s="133"/>
      <c r="R34" s="108"/>
      <c r="S34" s="104">
        <f t="shared" si="0"/>
        <v>0</v>
      </c>
      <c r="T34" s="71"/>
    </row>
    <row r="35" spans="1:20" s="43" customFormat="1" ht="95.25" customHeight="1" x14ac:dyDescent="0.3">
      <c r="A35" s="12"/>
      <c r="B35" s="103" t="s">
        <v>142</v>
      </c>
      <c r="C35" s="202" t="s">
        <v>36</v>
      </c>
      <c r="D35" s="203"/>
      <c r="E35" s="204"/>
      <c r="F35" s="103" t="s">
        <v>143</v>
      </c>
      <c r="G35" s="50">
        <v>150</v>
      </c>
      <c r="H35" s="50">
        <v>3</v>
      </c>
      <c r="I35" s="57">
        <v>10.1</v>
      </c>
      <c r="J35" s="114"/>
      <c r="K35" s="116"/>
      <c r="L35" s="122"/>
      <c r="M35" s="123"/>
      <c r="N35" s="124"/>
      <c r="O35" s="132"/>
      <c r="P35" s="68"/>
      <c r="Q35" s="133">
        <v>10100</v>
      </c>
      <c r="R35" s="108"/>
      <c r="S35" s="104">
        <f t="shared" si="0"/>
        <v>10100</v>
      </c>
      <c r="T35" s="71">
        <f>10100-S35</f>
        <v>0</v>
      </c>
    </row>
    <row r="36" spans="1:20" s="38" customFormat="1" ht="94.5" customHeight="1" x14ac:dyDescent="0.3">
      <c r="A36" s="12">
        <v>12</v>
      </c>
      <c r="B36" s="50" t="s">
        <v>58</v>
      </c>
      <c r="C36" s="202" t="s">
        <v>36</v>
      </c>
      <c r="D36" s="203"/>
      <c r="E36" s="204"/>
      <c r="F36" s="50" t="s">
        <v>59</v>
      </c>
      <c r="G36" s="67">
        <v>285</v>
      </c>
      <c r="H36" s="67">
        <v>3.5</v>
      </c>
      <c r="I36" s="13">
        <v>38.700000000000003</v>
      </c>
      <c r="J36" s="114"/>
      <c r="K36" s="116"/>
      <c r="L36" s="122"/>
      <c r="M36" s="123"/>
      <c r="N36" s="124">
        <v>38610.620000000003</v>
      </c>
      <c r="O36" s="132"/>
      <c r="P36" s="68"/>
      <c r="Q36" s="133"/>
      <c r="R36" s="108"/>
      <c r="S36" s="104">
        <f t="shared" si="0"/>
        <v>38610.620000000003</v>
      </c>
      <c r="T36" s="71">
        <f>38700-S36</f>
        <v>89.379999999997381</v>
      </c>
    </row>
    <row r="37" spans="1:20" s="40" customFormat="1" ht="61.5" customHeight="1" x14ac:dyDescent="0.3">
      <c r="A37" s="12">
        <v>13</v>
      </c>
      <c r="B37" s="50" t="s">
        <v>60</v>
      </c>
      <c r="C37" s="202" t="s">
        <v>36</v>
      </c>
      <c r="D37" s="203"/>
      <c r="E37" s="204"/>
      <c r="F37" s="50" t="s">
        <v>61</v>
      </c>
      <c r="G37" s="67">
        <v>151</v>
      </c>
      <c r="H37" s="67">
        <v>5.5</v>
      </c>
      <c r="I37" s="13">
        <v>25.7</v>
      </c>
      <c r="J37" s="114"/>
      <c r="K37" s="116"/>
      <c r="L37" s="122"/>
      <c r="M37" s="123">
        <v>25547.75</v>
      </c>
      <c r="N37" s="124"/>
      <c r="O37" s="132"/>
      <c r="P37" s="68"/>
      <c r="Q37" s="133"/>
      <c r="R37" s="108"/>
      <c r="S37" s="104">
        <f t="shared" si="0"/>
        <v>25547.75</v>
      </c>
      <c r="T37" s="71">
        <f>25700-S37</f>
        <v>152.25</v>
      </c>
    </row>
    <row r="38" spans="1:20" s="43" customFormat="1" ht="61.5" customHeight="1" x14ac:dyDescent="0.3">
      <c r="A38" s="12">
        <v>14</v>
      </c>
      <c r="B38" s="50" t="s">
        <v>66</v>
      </c>
      <c r="C38" s="202" t="s">
        <v>36</v>
      </c>
      <c r="D38" s="203"/>
      <c r="E38" s="204"/>
      <c r="F38" s="50" t="s">
        <v>67</v>
      </c>
      <c r="G38" s="65">
        <v>15</v>
      </c>
      <c r="H38" s="67">
        <v>6</v>
      </c>
      <c r="I38" s="13">
        <v>7</v>
      </c>
      <c r="J38" s="114"/>
      <c r="K38" s="116">
        <v>4941.2</v>
      </c>
      <c r="L38" s="122"/>
      <c r="M38" s="123">
        <v>1972.35</v>
      </c>
      <c r="N38" s="124"/>
      <c r="O38" s="132"/>
      <c r="P38" s="68"/>
      <c r="Q38" s="133"/>
      <c r="R38" s="108"/>
      <c r="S38" s="104">
        <f t="shared" si="0"/>
        <v>6913.5499999999993</v>
      </c>
      <c r="T38" s="71">
        <f>7000-S38</f>
        <v>86.450000000000728</v>
      </c>
    </row>
    <row r="39" spans="1:20" s="43" customFormat="1" ht="61.5" customHeight="1" x14ac:dyDescent="0.3">
      <c r="A39" s="12">
        <v>15</v>
      </c>
      <c r="B39" s="50" t="s">
        <v>135</v>
      </c>
      <c r="C39" s="202" t="s">
        <v>36</v>
      </c>
      <c r="D39" s="203"/>
      <c r="E39" s="204"/>
      <c r="F39" s="50" t="s">
        <v>136</v>
      </c>
      <c r="G39" s="98">
        <v>200</v>
      </c>
      <c r="H39" s="99">
        <v>3.5</v>
      </c>
      <c r="I39" s="100">
        <v>13.7</v>
      </c>
      <c r="J39" s="114"/>
      <c r="K39" s="116"/>
      <c r="L39" s="122"/>
      <c r="M39" s="123"/>
      <c r="N39" s="124">
        <v>12948.13</v>
      </c>
      <c r="O39" s="132"/>
      <c r="P39" s="68"/>
      <c r="Q39" s="133"/>
      <c r="R39" s="108"/>
      <c r="S39" s="104">
        <f t="shared" si="0"/>
        <v>12948.13</v>
      </c>
      <c r="T39" s="71">
        <f>13700-S39</f>
        <v>751.8700000000008</v>
      </c>
    </row>
    <row r="40" spans="1:20" s="49" customFormat="1" ht="61.5" customHeight="1" x14ac:dyDescent="0.3">
      <c r="A40" s="12">
        <v>15</v>
      </c>
      <c r="B40" s="50" t="s">
        <v>63</v>
      </c>
      <c r="C40" s="202" t="s">
        <v>36</v>
      </c>
      <c r="D40" s="203"/>
      <c r="E40" s="204"/>
      <c r="F40" s="50" t="s">
        <v>62</v>
      </c>
      <c r="G40" s="223" t="s">
        <v>64</v>
      </c>
      <c r="H40" s="224"/>
      <c r="I40" s="69">
        <v>8.9</v>
      </c>
      <c r="J40" s="114"/>
      <c r="K40" s="116"/>
      <c r="L40" s="122"/>
      <c r="M40" s="123"/>
      <c r="N40" s="124"/>
      <c r="O40" s="132">
        <v>8892.93</v>
      </c>
      <c r="P40" s="68"/>
      <c r="Q40" s="133"/>
      <c r="R40" s="108"/>
      <c r="S40" s="104">
        <f t="shared" si="0"/>
        <v>8892.93</v>
      </c>
      <c r="T40" s="71">
        <f>8900-S40</f>
        <v>7.069999999999709</v>
      </c>
    </row>
    <row r="41" spans="1:20" s="43" customFormat="1" ht="204" customHeight="1" x14ac:dyDescent="0.3">
      <c r="A41" s="12">
        <v>16</v>
      </c>
      <c r="B41" s="50" t="s">
        <v>68</v>
      </c>
      <c r="C41" s="202" t="s">
        <v>36</v>
      </c>
      <c r="D41" s="203"/>
      <c r="E41" s="204"/>
      <c r="F41" s="50" t="s">
        <v>81</v>
      </c>
      <c r="G41" s="60">
        <v>68</v>
      </c>
      <c r="H41" s="60">
        <v>5.5</v>
      </c>
      <c r="I41" s="69">
        <v>46.4</v>
      </c>
      <c r="J41" s="114"/>
      <c r="K41" s="116">
        <v>1669.76</v>
      </c>
      <c r="L41" s="122"/>
      <c r="M41" s="123"/>
      <c r="N41" s="124">
        <v>44730.239999999998</v>
      </c>
      <c r="O41" s="132"/>
      <c r="P41" s="68"/>
      <c r="Q41" s="133"/>
      <c r="R41" s="108"/>
      <c r="S41" s="104">
        <f t="shared" si="0"/>
        <v>46400</v>
      </c>
      <c r="T41" s="71">
        <f>46400-S41</f>
        <v>0</v>
      </c>
    </row>
    <row r="42" spans="1:20" s="41" customFormat="1" ht="156.75" customHeight="1" x14ac:dyDescent="0.3">
      <c r="A42" s="12">
        <v>17</v>
      </c>
      <c r="B42" s="50" t="s">
        <v>69</v>
      </c>
      <c r="C42" s="202" t="s">
        <v>36</v>
      </c>
      <c r="D42" s="203"/>
      <c r="E42" s="204"/>
      <c r="F42" s="50" t="s">
        <v>82</v>
      </c>
      <c r="G42" s="60">
        <v>67.5</v>
      </c>
      <c r="H42" s="60">
        <v>7.7</v>
      </c>
      <c r="I42" s="69">
        <v>39.1</v>
      </c>
      <c r="J42" s="114"/>
      <c r="K42" s="116"/>
      <c r="L42" s="122"/>
      <c r="M42" s="123">
        <v>39018.480000000003</v>
      </c>
      <c r="N42" s="124"/>
      <c r="O42" s="132"/>
      <c r="P42" s="68"/>
      <c r="Q42" s="133"/>
      <c r="R42" s="108"/>
      <c r="S42" s="104">
        <f t="shared" si="0"/>
        <v>39018.480000000003</v>
      </c>
      <c r="T42" s="71">
        <f>39100-S42</f>
        <v>81.519999999996799</v>
      </c>
    </row>
    <row r="43" spans="1:20" ht="73.5" customHeight="1" x14ac:dyDescent="0.3">
      <c r="A43" s="12">
        <v>18</v>
      </c>
      <c r="B43" s="50" t="s">
        <v>70</v>
      </c>
      <c r="C43" s="202" t="s">
        <v>36</v>
      </c>
      <c r="D43" s="203"/>
      <c r="E43" s="204"/>
      <c r="F43" s="50" t="s">
        <v>83</v>
      </c>
      <c r="G43" s="60">
        <v>162</v>
      </c>
      <c r="H43" s="60">
        <v>5.5</v>
      </c>
      <c r="I43" s="69">
        <v>37.299999999999997</v>
      </c>
      <c r="J43" s="114"/>
      <c r="K43" s="116"/>
      <c r="L43" s="122"/>
      <c r="M43" s="123"/>
      <c r="N43" s="124"/>
      <c r="O43" s="132">
        <v>37300</v>
      </c>
      <c r="P43" s="68"/>
      <c r="Q43" s="133"/>
      <c r="R43" s="108"/>
      <c r="S43" s="104">
        <f t="shared" si="0"/>
        <v>37300</v>
      </c>
      <c r="T43" s="71">
        <f>37300-S43</f>
        <v>0</v>
      </c>
    </row>
    <row r="44" spans="1:20" s="43" customFormat="1" ht="87.75" customHeight="1" x14ac:dyDescent="0.3">
      <c r="A44" s="81">
        <v>19</v>
      </c>
      <c r="B44" s="82" t="s">
        <v>121</v>
      </c>
      <c r="C44" s="229" t="s">
        <v>36</v>
      </c>
      <c r="D44" s="230"/>
      <c r="E44" s="231"/>
      <c r="F44" s="82" t="s">
        <v>122</v>
      </c>
      <c r="G44" s="83">
        <v>98</v>
      </c>
      <c r="H44" s="83">
        <v>5</v>
      </c>
      <c r="I44" s="83">
        <v>31.9</v>
      </c>
      <c r="J44" s="114"/>
      <c r="K44" s="116"/>
      <c r="L44" s="122"/>
      <c r="M44" s="123"/>
      <c r="N44" s="124"/>
      <c r="O44" s="132"/>
      <c r="P44" s="68"/>
      <c r="Q44" s="133">
        <v>31840.94</v>
      </c>
      <c r="R44" s="108"/>
      <c r="S44" s="104">
        <f t="shared" si="0"/>
        <v>31840.94</v>
      </c>
      <c r="T44" s="71">
        <f>31900-S44</f>
        <v>59.06000000000131</v>
      </c>
    </row>
    <row r="45" spans="1:20" s="43" customFormat="1" ht="75.75" customHeight="1" x14ac:dyDescent="0.3">
      <c r="A45" s="75">
        <v>20</v>
      </c>
      <c r="B45" s="76" t="s">
        <v>71</v>
      </c>
      <c r="C45" s="226" t="s">
        <v>36</v>
      </c>
      <c r="D45" s="227"/>
      <c r="E45" s="228"/>
      <c r="F45" s="76" t="s">
        <v>84</v>
      </c>
      <c r="G45" s="78">
        <v>98</v>
      </c>
      <c r="H45" s="79">
        <v>2</v>
      </c>
      <c r="I45" s="77">
        <v>18.100000000000001</v>
      </c>
      <c r="J45" s="114"/>
      <c r="K45" s="116"/>
      <c r="L45" s="122">
        <v>16231.67</v>
      </c>
      <c r="M45" s="123">
        <v>1789.59</v>
      </c>
      <c r="N45" s="124"/>
      <c r="O45" s="132"/>
      <c r="P45" s="68"/>
      <c r="Q45" s="133"/>
      <c r="R45" s="108"/>
      <c r="S45" s="104">
        <f t="shared" si="0"/>
        <v>18021.259999999998</v>
      </c>
      <c r="T45" s="71">
        <f>18100-S45</f>
        <v>78.740000000001601</v>
      </c>
    </row>
    <row r="46" spans="1:20" s="43" customFormat="1" ht="72" customHeight="1" x14ac:dyDescent="0.3">
      <c r="A46" s="75">
        <v>21</v>
      </c>
      <c r="B46" s="76" t="s">
        <v>72</v>
      </c>
      <c r="C46" s="226" t="s">
        <v>36</v>
      </c>
      <c r="D46" s="227"/>
      <c r="E46" s="228"/>
      <c r="F46" s="76" t="s">
        <v>85</v>
      </c>
      <c r="G46" s="78">
        <v>137</v>
      </c>
      <c r="H46" s="79">
        <v>2</v>
      </c>
      <c r="I46" s="77">
        <v>30.8</v>
      </c>
      <c r="J46" s="114"/>
      <c r="K46" s="116">
        <v>27311.64</v>
      </c>
      <c r="L46" s="122"/>
      <c r="M46" s="123"/>
      <c r="N46" s="124">
        <v>3430.35</v>
      </c>
      <c r="O46" s="132"/>
      <c r="P46" s="68"/>
      <c r="Q46" s="133"/>
      <c r="R46" s="108"/>
      <c r="S46" s="104">
        <f t="shared" si="0"/>
        <v>30741.989999999998</v>
      </c>
      <c r="T46" s="71">
        <f>30800-S46</f>
        <v>58.010000000002037</v>
      </c>
    </row>
    <row r="47" spans="1:20" s="43" customFormat="1" ht="77.25" customHeight="1" x14ac:dyDescent="0.3">
      <c r="A47" s="75">
        <v>22</v>
      </c>
      <c r="B47" s="76" t="s">
        <v>73</v>
      </c>
      <c r="C47" s="226" t="s">
        <v>36</v>
      </c>
      <c r="D47" s="227"/>
      <c r="E47" s="228"/>
      <c r="F47" s="76" t="s">
        <v>86</v>
      </c>
      <c r="G47" s="78">
        <v>270</v>
      </c>
      <c r="H47" s="79">
        <v>2.4</v>
      </c>
      <c r="I47" s="77">
        <v>41.8</v>
      </c>
      <c r="J47" s="114">
        <v>41776.46</v>
      </c>
      <c r="K47" s="116"/>
      <c r="L47" s="122"/>
      <c r="M47" s="123"/>
      <c r="N47" s="124"/>
      <c r="O47" s="132"/>
      <c r="P47" s="68"/>
      <c r="Q47" s="133"/>
      <c r="R47" s="108"/>
      <c r="S47" s="104">
        <f t="shared" si="0"/>
        <v>41776.46</v>
      </c>
      <c r="T47" s="71">
        <f>41800-S47</f>
        <v>23.540000000000873</v>
      </c>
    </row>
    <row r="48" spans="1:20" s="43" customFormat="1" ht="72.75" customHeight="1" x14ac:dyDescent="0.3">
      <c r="A48" s="75">
        <v>23</v>
      </c>
      <c r="B48" s="76" t="s">
        <v>123</v>
      </c>
      <c r="C48" s="226" t="s">
        <v>36</v>
      </c>
      <c r="D48" s="227"/>
      <c r="E48" s="228"/>
      <c r="F48" s="76" t="s">
        <v>124</v>
      </c>
      <c r="G48" s="78">
        <v>200</v>
      </c>
      <c r="H48" s="79">
        <v>2</v>
      </c>
      <c r="I48" s="77">
        <v>19.2</v>
      </c>
      <c r="J48" s="114"/>
      <c r="K48" s="116"/>
      <c r="L48" s="122"/>
      <c r="M48" s="123"/>
      <c r="N48" s="124">
        <v>19161.560000000001</v>
      </c>
      <c r="O48" s="132"/>
      <c r="P48" s="68"/>
      <c r="Q48" s="133"/>
      <c r="R48" s="108"/>
      <c r="S48" s="104">
        <f t="shared" si="0"/>
        <v>19161.560000000001</v>
      </c>
      <c r="T48" s="71">
        <f>19200-S48</f>
        <v>38.43999999999869</v>
      </c>
    </row>
    <row r="49" spans="1:20" s="43" customFormat="1" ht="82.5" customHeight="1" x14ac:dyDescent="0.3">
      <c r="A49" s="75">
        <v>24</v>
      </c>
      <c r="B49" s="76" t="s">
        <v>125</v>
      </c>
      <c r="C49" s="226" t="s">
        <v>36</v>
      </c>
      <c r="D49" s="227"/>
      <c r="E49" s="228"/>
      <c r="F49" s="76" t="s">
        <v>126</v>
      </c>
      <c r="G49" s="78">
        <v>102</v>
      </c>
      <c r="H49" s="79">
        <v>1.5</v>
      </c>
      <c r="I49" s="77">
        <v>26.4</v>
      </c>
      <c r="J49" s="114"/>
      <c r="K49" s="116"/>
      <c r="L49" s="122"/>
      <c r="M49" s="123"/>
      <c r="N49" s="124">
        <v>26399.05</v>
      </c>
      <c r="O49" s="132"/>
      <c r="P49" s="68"/>
      <c r="Q49" s="133"/>
      <c r="R49" s="108"/>
      <c r="S49" s="104">
        <f t="shared" si="0"/>
        <v>26399.05</v>
      </c>
      <c r="T49" s="71">
        <f>26400-S49</f>
        <v>0.9500000000007276</v>
      </c>
    </row>
    <row r="50" spans="1:20" s="43" customFormat="1" ht="82.5" customHeight="1" x14ac:dyDescent="0.3">
      <c r="A50" s="75">
        <v>25</v>
      </c>
      <c r="B50" s="76" t="s">
        <v>127</v>
      </c>
      <c r="C50" s="226" t="s">
        <v>36</v>
      </c>
      <c r="D50" s="227"/>
      <c r="E50" s="228"/>
      <c r="F50" s="76" t="s">
        <v>128</v>
      </c>
      <c r="G50" s="78">
        <v>19</v>
      </c>
      <c r="H50" s="79">
        <v>1.5</v>
      </c>
      <c r="I50" s="77">
        <v>3.9</v>
      </c>
      <c r="J50" s="114"/>
      <c r="K50" s="116"/>
      <c r="L50" s="122"/>
      <c r="M50" s="123"/>
      <c r="N50" s="124"/>
      <c r="O50" s="132"/>
      <c r="P50" s="68"/>
      <c r="Q50" s="133">
        <v>3809.93</v>
      </c>
      <c r="R50" s="108"/>
      <c r="S50" s="104">
        <f t="shared" si="0"/>
        <v>3809.93</v>
      </c>
      <c r="T50" s="71">
        <f>3900-S50</f>
        <v>90.070000000000164</v>
      </c>
    </row>
    <row r="51" spans="1:20" s="43" customFormat="1" ht="82.5" customHeight="1" x14ac:dyDescent="0.3">
      <c r="A51" s="75">
        <v>26</v>
      </c>
      <c r="B51" s="76" t="s">
        <v>129</v>
      </c>
      <c r="C51" s="226" t="s">
        <v>36</v>
      </c>
      <c r="D51" s="227"/>
      <c r="E51" s="228"/>
      <c r="F51" s="76" t="s">
        <v>130</v>
      </c>
      <c r="G51" s="78">
        <v>97</v>
      </c>
      <c r="H51" s="79">
        <v>1.5</v>
      </c>
      <c r="I51" s="77">
        <v>17.899999999999999</v>
      </c>
      <c r="J51" s="114"/>
      <c r="K51" s="116"/>
      <c r="L51" s="122"/>
      <c r="M51" s="123"/>
      <c r="N51" s="124">
        <v>17862.75</v>
      </c>
      <c r="O51" s="132"/>
      <c r="P51" s="68"/>
      <c r="Q51" s="133"/>
      <c r="R51" s="108"/>
      <c r="S51" s="104">
        <f t="shared" si="0"/>
        <v>17862.75</v>
      </c>
      <c r="T51" s="71">
        <f>17900-S51</f>
        <v>37.25</v>
      </c>
    </row>
    <row r="52" spans="1:20" s="43" customFormat="1" ht="68.25" customHeight="1" x14ac:dyDescent="0.3">
      <c r="A52" s="75">
        <v>27</v>
      </c>
      <c r="B52" s="76" t="s">
        <v>74</v>
      </c>
      <c r="C52" s="226" t="s">
        <v>36</v>
      </c>
      <c r="D52" s="227"/>
      <c r="E52" s="228"/>
      <c r="F52" s="76" t="s">
        <v>87</v>
      </c>
      <c r="G52" s="78">
        <v>127</v>
      </c>
      <c r="H52" s="79">
        <v>1.5</v>
      </c>
      <c r="I52" s="77">
        <v>17.2</v>
      </c>
      <c r="J52" s="114"/>
      <c r="K52" s="116">
        <v>17109.400000000001</v>
      </c>
      <c r="L52" s="122"/>
      <c r="M52" s="123"/>
      <c r="N52" s="124"/>
      <c r="O52" s="132"/>
      <c r="P52" s="68"/>
      <c r="Q52" s="133"/>
      <c r="R52" s="108"/>
      <c r="S52" s="104">
        <f t="shared" si="0"/>
        <v>17109.400000000001</v>
      </c>
      <c r="T52" s="71">
        <f>17200-S52</f>
        <v>90.599999999998545</v>
      </c>
    </row>
    <row r="53" spans="1:20" s="43" customFormat="1" ht="31.5" customHeight="1" x14ac:dyDescent="0.3">
      <c r="A53" s="232" t="s">
        <v>108</v>
      </c>
      <c r="B53" s="233"/>
      <c r="C53" s="233"/>
      <c r="D53" s="233"/>
      <c r="E53" s="233"/>
      <c r="F53" s="233"/>
      <c r="G53" s="233"/>
      <c r="H53" s="233"/>
      <c r="I53" s="234"/>
      <c r="J53" s="114"/>
      <c r="K53" s="116"/>
      <c r="L53" s="122"/>
      <c r="M53" s="123"/>
      <c r="N53" s="124"/>
      <c r="O53" s="132"/>
      <c r="P53" s="68"/>
      <c r="Q53" s="133"/>
      <c r="R53" s="108"/>
      <c r="S53" s="104"/>
      <c r="T53" s="104"/>
    </row>
    <row r="54" spans="1:20" s="43" customFormat="1" ht="82.5" customHeight="1" x14ac:dyDescent="0.3">
      <c r="A54" s="75">
        <v>28</v>
      </c>
      <c r="B54" s="76" t="s">
        <v>131</v>
      </c>
      <c r="C54" s="226" t="s">
        <v>36</v>
      </c>
      <c r="D54" s="227"/>
      <c r="E54" s="228"/>
      <c r="F54" s="76" t="s">
        <v>132</v>
      </c>
      <c r="G54" s="77">
        <v>9.5</v>
      </c>
      <c r="H54" s="77">
        <v>2</v>
      </c>
      <c r="I54" s="77">
        <v>1.7</v>
      </c>
      <c r="J54" s="114"/>
      <c r="K54" s="116"/>
      <c r="L54" s="122"/>
      <c r="M54" s="123"/>
      <c r="N54" s="124"/>
      <c r="O54" s="132"/>
      <c r="P54" s="68"/>
      <c r="Q54" s="133">
        <v>1699.81</v>
      </c>
      <c r="R54" s="108"/>
      <c r="S54" s="104">
        <f>J54+K54+L54+M54+N54+O54+P54+Q54+R54</f>
        <v>1699.81</v>
      </c>
      <c r="T54" s="71">
        <f>1700-S54</f>
        <v>0.19000000000005457</v>
      </c>
    </row>
    <row r="55" spans="1:20" s="43" customFormat="1" ht="84.75" customHeight="1" x14ac:dyDescent="0.3">
      <c r="A55" s="75">
        <v>29</v>
      </c>
      <c r="B55" s="76" t="s">
        <v>78</v>
      </c>
      <c r="C55" s="226" t="s">
        <v>36</v>
      </c>
      <c r="D55" s="227"/>
      <c r="E55" s="228"/>
      <c r="F55" s="76" t="s">
        <v>96</v>
      </c>
      <c r="G55" s="78">
        <v>16</v>
      </c>
      <c r="H55" s="79">
        <v>2.5</v>
      </c>
      <c r="I55" s="77">
        <v>1.5</v>
      </c>
      <c r="J55" s="114"/>
      <c r="K55" s="116">
        <v>1495.56</v>
      </c>
      <c r="L55" s="122"/>
      <c r="M55" s="123"/>
      <c r="N55" s="124"/>
      <c r="O55" s="132"/>
      <c r="P55" s="68"/>
      <c r="Q55" s="133"/>
      <c r="R55" s="108"/>
      <c r="S55" s="104">
        <f>J55+K55+L55+M55+N55+O55+P55+Q55+R55</f>
        <v>1495.56</v>
      </c>
      <c r="T55" s="71">
        <f>1500-S55</f>
        <v>4.4400000000000546</v>
      </c>
    </row>
    <row r="56" spans="1:20" s="43" customFormat="1" ht="49.5" customHeight="1" x14ac:dyDescent="0.3">
      <c r="A56" s="84">
        <v>30</v>
      </c>
      <c r="B56" s="76" t="s">
        <v>75</v>
      </c>
      <c r="C56" s="226" t="s">
        <v>36</v>
      </c>
      <c r="D56" s="227"/>
      <c r="E56" s="228"/>
      <c r="F56" s="76" t="s">
        <v>89</v>
      </c>
      <c r="G56" s="235" t="s">
        <v>88</v>
      </c>
      <c r="H56" s="236"/>
      <c r="I56" s="85">
        <v>13.4</v>
      </c>
      <c r="J56" s="114"/>
      <c r="K56" s="116"/>
      <c r="L56" s="122"/>
      <c r="M56" s="123"/>
      <c r="N56" s="124"/>
      <c r="O56" s="132"/>
      <c r="P56" s="68"/>
      <c r="Q56" s="133">
        <v>13368.85</v>
      </c>
      <c r="R56" s="108"/>
      <c r="S56" s="104">
        <f>J56+K56+L56+M56+N56+O56+P56+Q56+R56</f>
        <v>13368.85</v>
      </c>
      <c r="T56" s="71">
        <f>13400-S56</f>
        <v>31.149999999999636</v>
      </c>
    </row>
    <row r="57" spans="1:20" s="43" customFormat="1" ht="49.5" customHeight="1" x14ac:dyDescent="0.3">
      <c r="A57" s="84">
        <v>31</v>
      </c>
      <c r="B57" s="76" t="s">
        <v>76</v>
      </c>
      <c r="C57" s="226" t="s">
        <v>36</v>
      </c>
      <c r="D57" s="227"/>
      <c r="E57" s="228"/>
      <c r="F57" s="76" t="s">
        <v>90</v>
      </c>
      <c r="G57" s="235" t="s">
        <v>91</v>
      </c>
      <c r="H57" s="236"/>
      <c r="I57" s="85">
        <v>6.2</v>
      </c>
      <c r="J57" s="114"/>
      <c r="K57" s="116"/>
      <c r="L57" s="122"/>
      <c r="M57" s="123"/>
      <c r="N57" s="124"/>
      <c r="O57" s="132"/>
      <c r="P57" s="68">
        <v>6200</v>
      </c>
      <c r="Q57" s="133"/>
      <c r="R57" s="108"/>
      <c r="S57" s="104">
        <f>J57+K57+L57+M57+N57+O57+P57+Q57+R57</f>
        <v>6200</v>
      </c>
      <c r="T57" s="71">
        <f>6200-S57</f>
        <v>0</v>
      </c>
    </row>
    <row r="58" spans="1:20" s="43" customFormat="1" ht="49.5" customHeight="1" x14ac:dyDescent="0.3">
      <c r="A58" s="12">
        <v>33</v>
      </c>
      <c r="B58" s="50" t="s">
        <v>137</v>
      </c>
      <c r="C58" s="202" t="s">
        <v>36</v>
      </c>
      <c r="D58" s="203"/>
      <c r="E58" s="204"/>
      <c r="F58" s="50" t="s">
        <v>138</v>
      </c>
      <c r="G58" s="223" t="s">
        <v>92</v>
      </c>
      <c r="H58" s="224"/>
      <c r="I58" s="101">
        <v>6.2</v>
      </c>
      <c r="J58" s="114"/>
      <c r="K58" s="116"/>
      <c r="L58" s="122"/>
      <c r="M58" s="123"/>
      <c r="N58" s="124"/>
      <c r="O58" s="132"/>
      <c r="P58" s="68">
        <v>6200</v>
      </c>
      <c r="Q58" s="133"/>
      <c r="R58" s="108"/>
      <c r="S58" s="104">
        <v>6200</v>
      </c>
      <c r="T58" s="71">
        <f>6200-S58</f>
        <v>0</v>
      </c>
    </row>
    <row r="59" spans="1:20" s="43" customFormat="1" ht="49.5" customHeight="1" x14ac:dyDescent="0.3">
      <c r="A59" s="84">
        <v>33</v>
      </c>
      <c r="B59" s="76" t="s">
        <v>77</v>
      </c>
      <c r="C59" s="226" t="s">
        <v>36</v>
      </c>
      <c r="D59" s="227"/>
      <c r="E59" s="228"/>
      <c r="F59" s="76" t="s">
        <v>93</v>
      </c>
      <c r="G59" s="235" t="s">
        <v>92</v>
      </c>
      <c r="H59" s="236"/>
      <c r="I59" s="101">
        <v>15</v>
      </c>
      <c r="J59" s="114"/>
      <c r="K59" s="116"/>
      <c r="L59" s="122"/>
      <c r="M59" s="123"/>
      <c r="N59" s="124"/>
      <c r="O59" s="132"/>
      <c r="P59" s="68">
        <v>14986.68</v>
      </c>
      <c r="Q59" s="133"/>
      <c r="R59" s="108"/>
      <c r="S59" s="104">
        <f t="shared" ref="S59:S66" si="1">J59+K59+L59+M59+N59+O59+P59+Q59+R59</f>
        <v>14986.68</v>
      </c>
      <c r="T59" s="71">
        <f>15000-S59</f>
        <v>13.319999999999709</v>
      </c>
    </row>
    <row r="60" spans="1:20" s="43" customFormat="1" ht="49.5" customHeight="1" x14ac:dyDescent="0.3">
      <c r="A60" s="12">
        <v>35</v>
      </c>
      <c r="B60" s="50" t="s">
        <v>139</v>
      </c>
      <c r="C60" s="202" t="s">
        <v>140</v>
      </c>
      <c r="D60" s="203"/>
      <c r="E60" s="204"/>
      <c r="F60" s="50" t="s">
        <v>141</v>
      </c>
      <c r="G60" s="223" t="s">
        <v>92</v>
      </c>
      <c r="H60" s="224"/>
      <c r="I60" s="101">
        <v>14.6</v>
      </c>
      <c r="J60" s="114"/>
      <c r="K60" s="116"/>
      <c r="L60" s="122"/>
      <c r="M60" s="123"/>
      <c r="N60" s="124">
        <v>14536.94</v>
      </c>
      <c r="O60" s="132"/>
      <c r="P60" s="68"/>
      <c r="Q60" s="133"/>
      <c r="R60" s="108"/>
      <c r="S60" s="104">
        <f t="shared" si="1"/>
        <v>14536.94</v>
      </c>
      <c r="T60" s="71">
        <f>14600-S60</f>
        <v>63.059999999999491</v>
      </c>
    </row>
    <row r="61" spans="1:20" s="43" customFormat="1" ht="49.5" customHeight="1" x14ac:dyDescent="0.3">
      <c r="A61" s="84">
        <v>35</v>
      </c>
      <c r="B61" s="76" t="s">
        <v>79</v>
      </c>
      <c r="C61" s="226" t="s">
        <v>36</v>
      </c>
      <c r="D61" s="227"/>
      <c r="E61" s="228"/>
      <c r="F61" s="76" t="s">
        <v>94</v>
      </c>
      <c r="G61" s="235" t="s">
        <v>92</v>
      </c>
      <c r="H61" s="236"/>
      <c r="I61" s="85">
        <v>7.1</v>
      </c>
      <c r="J61" s="114"/>
      <c r="K61" s="116"/>
      <c r="L61" s="122"/>
      <c r="M61" s="123"/>
      <c r="N61" s="124"/>
      <c r="O61" s="132"/>
      <c r="P61" s="68">
        <v>7100</v>
      </c>
      <c r="Q61" s="133"/>
      <c r="R61" s="108"/>
      <c r="S61" s="104">
        <f t="shared" si="1"/>
        <v>7100</v>
      </c>
      <c r="T61" s="71">
        <f>7100-S61</f>
        <v>0</v>
      </c>
    </row>
    <row r="62" spans="1:20" s="43" customFormat="1" ht="49.5" customHeight="1" x14ac:dyDescent="0.3">
      <c r="A62" s="84">
        <v>36</v>
      </c>
      <c r="B62" s="76" t="s">
        <v>80</v>
      </c>
      <c r="C62" s="226" t="s">
        <v>36</v>
      </c>
      <c r="D62" s="227"/>
      <c r="E62" s="228"/>
      <c r="F62" s="76" t="s">
        <v>95</v>
      </c>
      <c r="G62" s="235" t="s">
        <v>92</v>
      </c>
      <c r="H62" s="236"/>
      <c r="I62" s="85">
        <v>7.1</v>
      </c>
      <c r="J62" s="114"/>
      <c r="K62" s="116"/>
      <c r="L62" s="122"/>
      <c r="M62" s="123"/>
      <c r="N62" s="124"/>
      <c r="O62" s="132"/>
      <c r="P62" s="68">
        <v>7100</v>
      </c>
      <c r="Q62" s="133"/>
      <c r="R62" s="108"/>
      <c r="S62" s="104">
        <f t="shared" si="1"/>
        <v>7100</v>
      </c>
      <c r="T62" s="71">
        <f>7100-S62</f>
        <v>0</v>
      </c>
    </row>
    <row r="63" spans="1:20" s="43" customFormat="1" ht="27" customHeight="1" x14ac:dyDescent="0.3">
      <c r="A63" s="254" t="s">
        <v>107</v>
      </c>
      <c r="B63" s="180"/>
      <c r="C63" s="180"/>
      <c r="D63" s="180"/>
      <c r="E63" s="180"/>
      <c r="F63" s="180"/>
      <c r="G63" s="180"/>
      <c r="H63" s="181"/>
      <c r="I63" s="70">
        <f>SUM(I54:I62)</f>
        <v>72.8</v>
      </c>
      <c r="J63" s="114"/>
      <c r="K63" s="116"/>
      <c r="L63" s="122"/>
      <c r="M63" s="123"/>
      <c r="N63" s="124"/>
      <c r="O63" s="132"/>
      <c r="P63" s="68"/>
      <c r="Q63" s="133"/>
      <c r="R63" s="108"/>
      <c r="S63" s="104">
        <f t="shared" si="1"/>
        <v>0</v>
      </c>
      <c r="T63" s="71"/>
    </row>
    <row r="64" spans="1:20" s="43" customFormat="1" ht="27" customHeight="1" x14ac:dyDescent="0.3">
      <c r="A64" s="86">
        <v>38</v>
      </c>
      <c r="B64" s="80" t="s">
        <v>133</v>
      </c>
      <c r="C64" s="252" t="s">
        <v>30</v>
      </c>
      <c r="D64" s="252"/>
      <c r="E64" s="252"/>
      <c r="F64" s="87" t="s">
        <v>22</v>
      </c>
      <c r="G64" s="252" t="s">
        <v>134</v>
      </c>
      <c r="H64" s="252"/>
      <c r="I64" s="85">
        <v>3</v>
      </c>
      <c r="J64" s="114"/>
      <c r="K64" s="116"/>
      <c r="L64" s="122"/>
      <c r="M64" s="123"/>
      <c r="N64" s="124">
        <v>1022.33</v>
      </c>
      <c r="O64" s="132">
        <v>853.1</v>
      </c>
      <c r="P64" s="68"/>
      <c r="Q64" s="133">
        <v>1124.57</v>
      </c>
      <c r="R64" s="108"/>
      <c r="S64" s="104">
        <f t="shared" si="1"/>
        <v>3000</v>
      </c>
      <c r="T64" s="71">
        <f>3000-S64</f>
        <v>0</v>
      </c>
    </row>
    <row r="65" spans="1:20" ht="49.5" customHeight="1" x14ac:dyDescent="0.3">
      <c r="A65" s="84">
        <v>39</v>
      </c>
      <c r="B65" s="87" t="s">
        <v>39</v>
      </c>
      <c r="C65" s="252" t="s">
        <v>30</v>
      </c>
      <c r="D65" s="252"/>
      <c r="E65" s="252"/>
      <c r="F65" s="87" t="s">
        <v>28</v>
      </c>
      <c r="G65" s="253" t="s">
        <v>40</v>
      </c>
      <c r="H65" s="253"/>
      <c r="I65" s="88">
        <v>2</v>
      </c>
      <c r="J65" s="114">
        <v>701.02</v>
      </c>
      <c r="K65" s="116">
        <v>666.21</v>
      </c>
      <c r="L65" s="122">
        <v>70.3</v>
      </c>
      <c r="M65" s="123"/>
      <c r="N65" s="126"/>
      <c r="O65" s="134"/>
      <c r="P65" s="135"/>
      <c r="Q65" s="255">
        <v>562.47</v>
      </c>
      <c r="R65" s="109"/>
      <c r="S65" s="104">
        <f t="shared" si="1"/>
        <v>2000</v>
      </c>
      <c r="T65" s="71">
        <f>2000-S65</f>
        <v>0</v>
      </c>
    </row>
    <row r="66" spans="1:20" ht="36" customHeight="1" thickBot="1" x14ac:dyDescent="0.35">
      <c r="A66" s="12">
        <v>40</v>
      </c>
      <c r="B66" s="73" t="s">
        <v>32</v>
      </c>
      <c r="C66" s="205" t="s">
        <v>30</v>
      </c>
      <c r="D66" s="205"/>
      <c r="E66" s="205"/>
      <c r="F66" s="73" t="s">
        <v>28</v>
      </c>
      <c r="G66" s="205" t="s">
        <v>31</v>
      </c>
      <c r="H66" s="205"/>
      <c r="I66" s="61">
        <v>0.3</v>
      </c>
      <c r="J66" s="118"/>
      <c r="K66" s="119"/>
      <c r="L66" s="127">
        <v>145.19999999999999</v>
      </c>
      <c r="M66" s="128"/>
      <c r="N66" s="129"/>
      <c r="O66" s="136">
        <v>121</v>
      </c>
      <c r="P66" s="137"/>
      <c r="Q66" s="138"/>
      <c r="R66" s="110"/>
      <c r="S66" s="105">
        <f t="shared" si="1"/>
        <v>266.2</v>
      </c>
      <c r="T66" s="71">
        <f>300-S66</f>
        <v>33.800000000000011</v>
      </c>
    </row>
    <row r="67" spans="1:20" s="43" customFormat="1" ht="22.2" customHeight="1" thickBot="1" x14ac:dyDescent="0.35">
      <c r="A67" s="214" t="s">
        <v>99</v>
      </c>
      <c r="B67" s="215"/>
      <c r="C67" s="215"/>
      <c r="D67" s="215"/>
      <c r="E67" s="215"/>
      <c r="F67" s="215"/>
      <c r="G67" s="215"/>
      <c r="H67" s="215"/>
      <c r="I67" s="28">
        <f>I24+I25+I26+I28+I29+I30+I32+I33+I36+I37+I40+I41+I42+I43+I45+I46+I47+I48+I49+I65+I66+I52+I54+I55+I56+I57+I44+I59+I60+I38+I50+I62+I61+I64+I51+I58+I39+I35</f>
        <v>1107.3</v>
      </c>
      <c r="J67" s="120">
        <f t="shared" ref="J67:T67" si="2">SUM(J15:J66)</f>
        <v>319794.81000000006</v>
      </c>
      <c r="K67" s="121">
        <f t="shared" si="2"/>
        <v>370424.16000000009</v>
      </c>
      <c r="L67" s="130">
        <f t="shared" si="2"/>
        <v>230193.59999999998</v>
      </c>
      <c r="M67" s="131">
        <f t="shared" si="2"/>
        <v>166351.08000000002</v>
      </c>
      <c r="N67" s="131">
        <f t="shared" si="2"/>
        <v>362398.42</v>
      </c>
      <c r="O67" s="139">
        <f t="shared" si="2"/>
        <v>376361.6</v>
      </c>
      <c r="P67" s="139">
        <f t="shared" si="2"/>
        <v>270921.92</v>
      </c>
      <c r="Q67" s="139">
        <f t="shared" si="2"/>
        <v>345598.37999999989</v>
      </c>
      <c r="R67" s="106">
        <f t="shared" si="2"/>
        <v>0</v>
      </c>
      <c r="S67" s="106">
        <f t="shared" si="2"/>
        <v>2442043.9700000002</v>
      </c>
      <c r="T67" s="106">
        <f>SUM(T15:T66)</f>
        <v>2556.029999999972</v>
      </c>
    </row>
    <row r="68" spans="1:20" ht="22.2" customHeight="1" x14ac:dyDescent="0.3">
      <c r="A68" s="216" t="s">
        <v>100</v>
      </c>
      <c r="B68" s="215"/>
      <c r="C68" s="215"/>
      <c r="D68" s="215"/>
      <c r="E68" s="215"/>
      <c r="F68" s="215"/>
      <c r="G68" s="215"/>
      <c r="H68" s="215"/>
      <c r="I68" s="29">
        <f>I60+I59+I57+I56+I55+I54+I52+I49+I48+I47+I46+I45+I44+I43+I42+I41+I40+I37+I36+I38+I50+I62+I61+I51+I39+I58</f>
        <v>496.79999999999995</v>
      </c>
      <c r="J68" s="45"/>
      <c r="N68" s="206"/>
      <c r="O68" s="206"/>
      <c r="P68" s="206"/>
      <c r="Q68" s="206"/>
      <c r="R68" s="206"/>
      <c r="S68" s="206"/>
      <c r="T68" s="206"/>
    </row>
    <row r="69" spans="1:20" s="5" customFormat="1" ht="20.25" customHeight="1" thickBot="1" x14ac:dyDescent="0.35">
      <c r="A69" s="217" t="s">
        <v>101</v>
      </c>
      <c r="B69" s="218"/>
      <c r="C69" s="218"/>
      <c r="D69" s="218"/>
      <c r="E69" s="218"/>
      <c r="F69" s="218"/>
      <c r="G69" s="218"/>
      <c r="H69" s="219"/>
      <c r="I69" s="29">
        <f>I63+I34</f>
        <v>126.2</v>
      </c>
      <c r="J69" s="5" t="s">
        <v>148</v>
      </c>
      <c r="K69" s="112">
        <f>SUM(J67:K67)</f>
        <v>690218.9700000002</v>
      </c>
      <c r="L69" s="5" t="s">
        <v>149</v>
      </c>
      <c r="M69" s="112">
        <f>SUM(L67:N67)</f>
        <v>758943.1</v>
      </c>
      <c r="N69" s="89"/>
      <c r="O69" s="5" t="s">
        <v>150</v>
      </c>
      <c r="P69" s="113">
        <f>SUM(O67:Q67)</f>
        <v>992881.89999999991</v>
      </c>
      <c r="Q69" s="89"/>
      <c r="R69" s="89"/>
      <c r="S69" s="89"/>
      <c r="T69" s="89"/>
    </row>
    <row r="70" spans="1:20" ht="27.6" customHeight="1" x14ac:dyDescent="0.3">
      <c r="A70" s="220" t="s">
        <v>102</v>
      </c>
      <c r="B70" s="221"/>
      <c r="C70" s="221"/>
      <c r="D70" s="221"/>
      <c r="E70" s="221"/>
      <c r="F70" s="221"/>
      <c r="G70" s="221"/>
      <c r="H70" s="222"/>
      <c r="I70" s="62">
        <f>I20+I67</f>
        <v>2444.6</v>
      </c>
      <c r="N70" s="9"/>
      <c r="O70" s="9"/>
      <c r="P70" s="9"/>
      <c r="Q70" s="9"/>
      <c r="R70" s="9"/>
      <c r="S70" s="9"/>
      <c r="T70" s="9"/>
    </row>
    <row r="71" spans="1:20" ht="27.6" customHeight="1" x14ac:dyDescent="0.3">
      <c r="A71" s="179" t="s">
        <v>103</v>
      </c>
      <c r="B71" s="191"/>
      <c r="C71" s="191"/>
      <c r="D71" s="191"/>
      <c r="E71" s="191"/>
      <c r="F71" s="191"/>
      <c r="G71" s="191"/>
      <c r="H71" s="192"/>
      <c r="I71" s="28">
        <f>I69+I22</f>
        <v>207.7</v>
      </c>
      <c r="N71" s="9"/>
      <c r="O71" s="9"/>
      <c r="P71" s="9"/>
      <c r="Q71" s="9"/>
      <c r="R71" s="9"/>
      <c r="S71" s="9"/>
      <c r="T71" s="9"/>
    </row>
    <row r="72" spans="1:20" ht="27.6" customHeight="1" x14ac:dyDescent="0.3">
      <c r="A72" s="179" t="s">
        <v>104</v>
      </c>
      <c r="B72" s="191"/>
      <c r="C72" s="191"/>
      <c r="D72" s="191"/>
      <c r="E72" s="191"/>
      <c r="F72" s="191"/>
      <c r="G72" s="191"/>
      <c r="H72" s="192"/>
      <c r="I72" s="48">
        <f>I20</f>
        <v>1337.3</v>
      </c>
      <c r="J72" s="6"/>
    </row>
    <row r="73" spans="1:20" ht="30.75" customHeight="1" thickBot="1" x14ac:dyDescent="0.35">
      <c r="A73" s="211" t="s">
        <v>105</v>
      </c>
      <c r="B73" s="212"/>
      <c r="C73" s="212"/>
      <c r="D73" s="212"/>
      <c r="E73" s="212"/>
      <c r="F73" s="212"/>
      <c r="G73" s="212"/>
      <c r="H73" s="213"/>
      <c r="I73" s="30">
        <f>I21</f>
        <v>668.8</v>
      </c>
      <c r="M73" s="102"/>
    </row>
    <row r="74" spans="1:20" ht="15.6" customHeight="1" x14ac:dyDescent="0.3">
      <c r="A74" s="14"/>
      <c r="B74" s="14"/>
      <c r="C74" s="15"/>
      <c r="D74" s="42"/>
      <c r="E74" s="15"/>
      <c r="F74" s="16"/>
      <c r="G74" s="16"/>
      <c r="H74" s="16"/>
      <c r="I74" s="31"/>
    </row>
    <row r="75" spans="1:20" x14ac:dyDescent="0.3">
      <c r="A75" s="14"/>
      <c r="B75" s="15"/>
      <c r="C75" s="209" t="s">
        <v>20</v>
      </c>
      <c r="D75" s="209"/>
      <c r="E75" s="209"/>
      <c r="F75" s="209"/>
      <c r="G75" s="209"/>
      <c r="H75" s="209"/>
      <c r="I75" s="209"/>
    </row>
    <row r="76" spans="1:20" x14ac:dyDescent="0.3">
      <c r="A76" s="14"/>
      <c r="B76" s="32" t="s">
        <v>3</v>
      </c>
      <c r="C76" s="210" t="s">
        <v>12</v>
      </c>
      <c r="D76" s="210"/>
      <c r="E76" s="210"/>
      <c r="F76" s="210"/>
      <c r="G76" s="210"/>
      <c r="H76" s="210"/>
      <c r="I76" s="210"/>
    </row>
    <row r="77" spans="1:20" x14ac:dyDescent="0.3">
      <c r="A77" s="33"/>
      <c r="B77" s="34"/>
      <c r="C77" s="208" t="s">
        <v>11</v>
      </c>
      <c r="D77" s="208"/>
      <c r="E77" s="208"/>
      <c r="F77" s="208"/>
      <c r="G77" s="208"/>
      <c r="H77" s="208"/>
      <c r="I77" s="208"/>
    </row>
    <row r="78" spans="1:20" x14ac:dyDescent="0.3">
      <c r="A78" s="16"/>
      <c r="B78" s="207" t="s">
        <v>13</v>
      </c>
      <c r="C78" s="207"/>
      <c r="D78" s="207"/>
      <c r="E78" s="207"/>
      <c r="F78" s="207"/>
      <c r="G78" s="207"/>
      <c r="H78" s="207"/>
      <c r="I78" s="207"/>
    </row>
    <row r="79" spans="1:20" x14ac:dyDescent="0.3">
      <c r="A79" s="14"/>
      <c r="B79" s="35" t="s">
        <v>4</v>
      </c>
      <c r="C79" s="15"/>
      <c r="D79" s="42"/>
      <c r="E79" s="15"/>
      <c r="F79" s="16"/>
      <c r="G79" s="16"/>
      <c r="H79" s="16"/>
      <c r="I79" s="31"/>
    </row>
    <row r="80" spans="1:20" ht="62.4" x14ac:dyDescent="0.3">
      <c r="A80" s="14"/>
      <c r="B80" s="36" t="s">
        <v>19</v>
      </c>
      <c r="C80" s="37"/>
      <c r="D80" s="37"/>
      <c r="E80" s="37"/>
      <c r="F80" s="17"/>
      <c r="G80" s="16"/>
      <c r="H80" s="16"/>
      <c r="I80" s="31"/>
    </row>
    <row r="81" spans="1:11" x14ac:dyDescent="0.3">
      <c r="A81" s="46" t="s">
        <v>44</v>
      </c>
      <c r="B81" s="1" t="s">
        <v>45</v>
      </c>
      <c r="C81" s="44"/>
      <c r="E81" s="15"/>
      <c r="F81" s="16"/>
      <c r="G81" s="16"/>
      <c r="H81" s="16"/>
      <c r="I81" s="31"/>
    </row>
    <row r="82" spans="1:11" x14ac:dyDescent="0.3">
      <c r="A82" s="46"/>
      <c r="C82" s="44"/>
    </row>
    <row r="93" spans="1:11" x14ac:dyDescent="0.3">
      <c r="B93" s="89"/>
      <c r="C93" s="90"/>
      <c r="D93" s="90"/>
      <c r="E93" s="90"/>
      <c r="F93" s="9"/>
      <c r="G93" s="9"/>
      <c r="H93" s="9"/>
      <c r="I93" s="91"/>
      <c r="J93" s="9"/>
      <c r="K93" s="9"/>
    </row>
    <row r="94" spans="1:11" x14ac:dyDescent="0.3">
      <c r="B94" s="74"/>
      <c r="C94" s="92"/>
      <c r="D94" s="249"/>
      <c r="E94" s="249"/>
      <c r="F94" s="249"/>
      <c r="G94" s="92"/>
      <c r="H94" s="249"/>
      <c r="I94" s="249"/>
      <c r="J94" s="93"/>
      <c r="K94" s="9"/>
    </row>
    <row r="95" spans="1:11" x14ac:dyDescent="0.3">
      <c r="B95" s="90"/>
      <c r="C95" s="92"/>
      <c r="D95" s="249"/>
      <c r="E95" s="249"/>
      <c r="F95" s="249"/>
      <c r="G95" s="92"/>
      <c r="H95" s="250"/>
      <c r="I95" s="250"/>
      <c r="J95" s="94"/>
      <c r="K95" s="9"/>
    </row>
    <row r="96" spans="1:11" x14ac:dyDescent="0.3">
      <c r="B96" s="95"/>
      <c r="C96" s="96"/>
      <c r="D96" s="251"/>
      <c r="E96" s="251"/>
      <c r="F96" s="251"/>
      <c r="G96" s="96"/>
      <c r="H96" s="251"/>
      <c r="I96" s="251"/>
      <c r="J96" s="97"/>
      <c r="K96" s="9"/>
    </row>
    <row r="97" spans="2:11" x14ac:dyDescent="0.3">
      <c r="B97" s="89"/>
      <c r="C97" s="90"/>
      <c r="D97" s="90"/>
      <c r="E97" s="90"/>
      <c r="F97" s="9"/>
      <c r="G97" s="9"/>
      <c r="H97" s="9"/>
      <c r="I97" s="91"/>
      <c r="J97" s="9"/>
      <c r="K97" s="9"/>
    </row>
  </sheetData>
  <mergeCells count="119">
    <mergeCell ref="J10:R10"/>
    <mergeCell ref="J11:K11"/>
    <mergeCell ref="L11:N11"/>
    <mergeCell ref="O11:Q11"/>
    <mergeCell ref="S10:S14"/>
    <mergeCell ref="T10:T14"/>
    <mergeCell ref="D95:F95"/>
    <mergeCell ref="H95:I95"/>
    <mergeCell ref="D96:F96"/>
    <mergeCell ref="H96:I96"/>
    <mergeCell ref="C65:E65"/>
    <mergeCell ref="G65:H65"/>
    <mergeCell ref="C66:E66"/>
    <mergeCell ref="G66:H66"/>
    <mergeCell ref="C64:E64"/>
    <mergeCell ref="G64:H64"/>
    <mergeCell ref="D94:F94"/>
    <mergeCell ref="H94:I94"/>
    <mergeCell ref="A63:H63"/>
    <mergeCell ref="C54:E54"/>
    <mergeCell ref="C56:E56"/>
    <mergeCell ref="C57:E57"/>
    <mergeCell ref="C59:E59"/>
    <mergeCell ref="C60:E60"/>
    <mergeCell ref="G56:H56"/>
    <mergeCell ref="G57:H57"/>
    <mergeCell ref="G59:H59"/>
    <mergeCell ref="G60:H60"/>
    <mergeCell ref="C61:E61"/>
    <mergeCell ref="G61:H61"/>
    <mergeCell ref="C62:E62"/>
    <mergeCell ref="G62:H62"/>
    <mergeCell ref="C58:E58"/>
    <mergeCell ref="G58:H58"/>
    <mergeCell ref="C42:E42"/>
    <mergeCell ref="C43:E43"/>
    <mergeCell ref="C52:E52"/>
    <mergeCell ref="C55:E55"/>
    <mergeCell ref="C44:E44"/>
    <mergeCell ref="A53:I53"/>
    <mergeCell ref="C45:E45"/>
    <mergeCell ref="C46:E46"/>
    <mergeCell ref="C47:E47"/>
    <mergeCell ref="C48:E48"/>
    <mergeCell ref="C49:E49"/>
    <mergeCell ref="C50:E50"/>
    <mergeCell ref="C51:E51"/>
    <mergeCell ref="C40:E40"/>
    <mergeCell ref="G40:H40"/>
    <mergeCell ref="C41:E41"/>
    <mergeCell ref="C28:E28"/>
    <mergeCell ref="B34:H34"/>
    <mergeCell ref="C37:E37"/>
    <mergeCell ref="C30:E30"/>
    <mergeCell ref="G30:H30"/>
    <mergeCell ref="C33:E33"/>
    <mergeCell ref="G29:H29"/>
    <mergeCell ref="C36:E36"/>
    <mergeCell ref="C38:E38"/>
    <mergeCell ref="C32:E32"/>
    <mergeCell ref="G32:H32"/>
    <mergeCell ref="G33:H33"/>
    <mergeCell ref="C39:E39"/>
    <mergeCell ref="C35:E35"/>
    <mergeCell ref="N68:T68"/>
    <mergeCell ref="B78:I78"/>
    <mergeCell ref="C77:I77"/>
    <mergeCell ref="C75:I75"/>
    <mergeCell ref="C76:I76"/>
    <mergeCell ref="A73:H73"/>
    <mergeCell ref="A72:H72"/>
    <mergeCell ref="A67:H67"/>
    <mergeCell ref="A68:H68"/>
    <mergeCell ref="A69:H69"/>
    <mergeCell ref="A70:H70"/>
    <mergeCell ref="A71:H71"/>
    <mergeCell ref="A23:I23"/>
    <mergeCell ref="B27:H27"/>
    <mergeCell ref="G24:H24"/>
    <mergeCell ref="C24:E24"/>
    <mergeCell ref="C25:E25"/>
    <mergeCell ref="G25:H25"/>
    <mergeCell ref="C26:E26"/>
    <mergeCell ref="G26:H26"/>
    <mergeCell ref="B31:H31"/>
    <mergeCell ref="G28:H28"/>
    <mergeCell ref="C29:E29"/>
    <mergeCell ref="H1:I1"/>
    <mergeCell ref="A22:H22"/>
    <mergeCell ref="A7:I7"/>
    <mergeCell ref="A9:I9"/>
    <mergeCell ref="F3:I3"/>
    <mergeCell ref="F4:I4"/>
    <mergeCell ref="F5:I5"/>
    <mergeCell ref="A3:B3"/>
    <mergeCell ref="A4:B5"/>
    <mergeCell ref="A8:I8"/>
    <mergeCell ref="A11:A12"/>
    <mergeCell ref="B11:B12"/>
    <mergeCell ref="I11:I12"/>
    <mergeCell ref="A14:I14"/>
    <mergeCell ref="A20:H20"/>
    <mergeCell ref="B16:H16"/>
    <mergeCell ref="D11:D12"/>
    <mergeCell ref="B18:H18"/>
    <mergeCell ref="H2:I2"/>
    <mergeCell ref="C11:C12"/>
    <mergeCell ref="A21:H21"/>
    <mergeCell ref="E11:E12"/>
    <mergeCell ref="F11:H11"/>
    <mergeCell ref="O12:O14"/>
    <mergeCell ref="P12:P14"/>
    <mergeCell ref="Q12:Q14"/>
    <mergeCell ref="R12:R14"/>
    <mergeCell ref="J12:J14"/>
    <mergeCell ref="K12:K14"/>
    <mergeCell ref="L12:L14"/>
    <mergeCell ref="M12:M14"/>
    <mergeCell ref="N12:N14"/>
  </mergeCells>
  <pageMargins left="0.51181102362204722" right="0.31496062992125984" top="0.35433070866141736" bottom="0.35433070866141736" header="0" footer="0"/>
  <pageSetup paperSize="9" scale="3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Varijantas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Eliutė Kasilovskienė</dc:creator>
  <cp:lastModifiedBy>Modestas Budrys</cp:lastModifiedBy>
  <cp:lastPrinted>2023-09-06T07:25:53Z</cp:lastPrinted>
  <dcterms:created xsi:type="dcterms:W3CDTF">2015-01-20T11:58:13Z</dcterms:created>
  <dcterms:modified xsi:type="dcterms:W3CDTF">2024-01-10T14:11:04Z</dcterms:modified>
</cp:coreProperties>
</file>