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-90" yWindow="0" windowWidth="8160" windowHeight="9615"/>
  </bookViews>
  <sheets>
    <sheet name="001" sheetId="3" r:id="rId1"/>
    <sheet name="002" sheetId="5" r:id="rId2"/>
    <sheet name="003" sheetId="7" r:id="rId3"/>
    <sheet name="004" sheetId="8" r:id="rId4"/>
    <sheet name="005" sheetId="9" r:id="rId5"/>
    <sheet name="006" sheetId="10" r:id="rId6"/>
    <sheet name="007" sheetId="11" r:id="rId7"/>
    <sheet name="008" sheetId="12" r:id="rId8"/>
    <sheet name="Lapas1" sheetId="13" state="hidden" r:id="rId9"/>
  </sheets>
  <definedNames>
    <definedName name="_xlnm.Print_Area" localSheetId="0">'001'!$A$1:$Q$279</definedName>
    <definedName name="_xlnm.Print_Area" localSheetId="1">'002'!$A$1:$P$79</definedName>
    <definedName name="_xlnm.Print_Area" localSheetId="2">'003'!$A$1:$P$52</definedName>
    <definedName name="_xlnm.Print_Area" localSheetId="3">'004'!$A$1:$P$201</definedName>
    <definedName name="_xlnm.Print_Area" localSheetId="4">'005'!$A$1:$P$46</definedName>
    <definedName name="_xlnm.Print_Area" localSheetId="5">'006'!$A$1:$P$118</definedName>
    <definedName name="_xlnm.Print_Area" localSheetId="6">'007'!$A$1:$P$171</definedName>
    <definedName name="_xlnm.Print_Area" localSheetId="7">'008'!$A$1:$P$55</definedName>
  </definedNames>
  <calcPr calcId="152511"/>
  <fileRecoveryPr autoRecover="0"/>
</workbook>
</file>

<file path=xl/calcChain.xml><?xml version="1.0" encoding="utf-8"?>
<calcChain xmlns="http://schemas.openxmlformats.org/spreadsheetml/2006/main">
  <c r="F84" i="5" l="1"/>
  <c r="H25" i="12" l="1"/>
  <c r="I25" i="12" s="1"/>
  <c r="H29" i="12"/>
  <c r="I29" i="12" s="1"/>
  <c r="H38" i="12"/>
  <c r="I38" i="12" s="1"/>
  <c r="H32" i="12"/>
  <c r="I32" i="12" s="1"/>
  <c r="H28" i="12"/>
  <c r="I28" i="12" s="1"/>
  <c r="H24" i="12"/>
  <c r="I24" i="12" s="1"/>
  <c r="H21" i="12"/>
  <c r="I21" i="12" s="1"/>
  <c r="H18" i="12"/>
  <c r="I18" i="12" s="1"/>
  <c r="H43" i="11"/>
  <c r="I43" i="11" s="1"/>
  <c r="H38" i="11"/>
  <c r="I38" i="11" s="1"/>
  <c r="H104" i="11"/>
  <c r="I104" i="11" s="1"/>
  <c r="H100" i="11"/>
  <c r="I100" i="11" s="1"/>
  <c r="H97" i="11"/>
  <c r="I97" i="11" s="1"/>
  <c r="H86" i="11"/>
  <c r="I86" i="11" s="1"/>
  <c r="H83" i="11"/>
  <c r="I83" i="11" s="1"/>
  <c r="H80" i="11"/>
  <c r="I80" i="11" s="1"/>
  <c r="H72" i="11"/>
  <c r="I72" i="11" s="1"/>
  <c r="H69" i="11"/>
  <c r="I69" i="11" s="1"/>
  <c r="H66" i="11"/>
  <c r="I66" i="11" s="1"/>
  <c r="H63" i="11"/>
  <c r="I63" i="11" s="1"/>
  <c r="H58" i="11"/>
  <c r="I58" i="11" s="1"/>
  <c r="H55" i="11"/>
  <c r="I55" i="11" s="1"/>
  <c r="H52" i="11"/>
  <c r="I52" i="11" s="1"/>
  <c r="H44" i="11"/>
  <c r="I44" i="11" s="1"/>
  <c r="H154" i="11"/>
  <c r="I154" i="11" s="1"/>
  <c r="H150" i="11"/>
  <c r="I150" i="11" s="1"/>
  <c r="H143" i="11"/>
  <c r="I143" i="11" s="1"/>
  <c r="H131" i="11"/>
  <c r="I131" i="11" s="1"/>
  <c r="I121" i="11"/>
  <c r="H121" i="11"/>
  <c r="H112" i="11"/>
  <c r="I112" i="11" s="1"/>
  <c r="H79" i="11"/>
  <c r="I79" i="11" s="1"/>
  <c r="H47" i="11"/>
  <c r="I47" i="11" s="1"/>
  <c r="H42" i="11"/>
  <c r="I42" i="11" s="1"/>
  <c r="H37" i="11"/>
  <c r="I37" i="11" s="1"/>
  <c r="H29" i="11"/>
  <c r="I29" i="11" s="1"/>
  <c r="I17" i="11"/>
  <c r="H17" i="11"/>
  <c r="H71" i="10"/>
  <c r="I71" i="10" s="1"/>
  <c r="H64" i="10"/>
  <c r="I64" i="10" s="1"/>
  <c r="H57" i="10"/>
  <c r="I57" i="10" s="1"/>
  <c r="H44" i="10"/>
  <c r="I44" i="10" s="1"/>
  <c r="H38" i="10"/>
  <c r="I38" i="10" s="1"/>
  <c r="H32" i="10"/>
  <c r="I32" i="10" s="1"/>
  <c r="H26" i="10"/>
  <c r="I26" i="10" s="1"/>
  <c r="H56" i="10"/>
  <c r="I56" i="10" s="1"/>
  <c r="H101" i="10"/>
  <c r="I101" i="10" s="1"/>
  <c r="H93" i="10"/>
  <c r="I93" i="10" s="1"/>
  <c r="H90" i="10"/>
  <c r="I90" i="10" s="1"/>
  <c r="I87" i="10"/>
  <c r="H87" i="10"/>
  <c r="H84" i="10"/>
  <c r="I84" i="10" s="1"/>
  <c r="H81" i="10"/>
  <c r="I81" i="10" s="1"/>
  <c r="I74" i="10"/>
  <c r="H74" i="10"/>
  <c r="H70" i="10"/>
  <c r="I70" i="10" s="1"/>
  <c r="H63" i="10"/>
  <c r="I63" i="10" s="1"/>
  <c r="H55" i="10"/>
  <c r="I55" i="10" s="1"/>
  <c r="H43" i="10"/>
  <c r="I43" i="10" s="1"/>
  <c r="H37" i="10"/>
  <c r="I37" i="10" s="1"/>
  <c r="H31" i="10"/>
  <c r="I31" i="10" s="1"/>
  <c r="H25" i="10"/>
  <c r="I25" i="10" s="1"/>
  <c r="H19" i="10"/>
  <c r="I19" i="10" s="1"/>
  <c r="H27" i="9"/>
  <c r="I27" i="9" s="1"/>
  <c r="H143" i="8"/>
  <c r="I143" i="8" s="1"/>
  <c r="H107" i="8"/>
  <c r="I107" i="8" s="1"/>
  <c r="H99" i="8"/>
  <c r="I99" i="8" s="1"/>
  <c r="H184" i="8"/>
  <c r="I184" i="8" s="1"/>
  <c r="H176" i="8"/>
  <c r="I176" i="8" s="1"/>
  <c r="H165" i="8"/>
  <c r="I165" i="8" s="1"/>
  <c r="H158" i="8"/>
  <c r="I158" i="8" s="1"/>
  <c r="H154" i="8"/>
  <c r="I154" i="8" s="1"/>
  <c r="H147" i="8"/>
  <c r="I147" i="8" s="1"/>
  <c r="H142" i="8"/>
  <c r="I142" i="8" s="1"/>
  <c r="H132" i="8"/>
  <c r="I132" i="8" s="1"/>
  <c r="H119" i="8"/>
  <c r="I119" i="8" s="1"/>
  <c r="H105" i="8"/>
  <c r="I105" i="8" s="1"/>
  <c r="H102" i="8"/>
  <c r="I102" i="8" s="1"/>
  <c r="H97" i="8"/>
  <c r="I97" i="8" s="1"/>
  <c r="H83" i="8"/>
  <c r="I83" i="8" s="1"/>
  <c r="H80" i="8"/>
  <c r="I80" i="8" s="1"/>
  <c r="H76" i="8"/>
  <c r="I76" i="8" s="1"/>
  <c r="I65" i="8"/>
  <c r="H65" i="8"/>
  <c r="H59" i="8"/>
  <c r="I59" i="8" s="1"/>
  <c r="H56" i="8"/>
  <c r="I56" i="8" s="1"/>
  <c r="H29" i="8"/>
  <c r="I29" i="8" s="1"/>
  <c r="H114" i="8"/>
  <c r="I114" i="8" s="1"/>
  <c r="H106" i="8"/>
  <c r="I106" i="8" s="1"/>
  <c r="H98" i="8"/>
  <c r="I98" i="8" s="1"/>
  <c r="H86" i="8"/>
  <c r="I86" i="8" s="1"/>
  <c r="H77" i="8"/>
  <c r="I77" i="8" s="1"/>
  <c r="H73" i="8"/>
  <c r="I73" i="8" s="1"/>
  <c r="H60" i="8"/>
  <c r="I60" i="8" s="1"/>
  <c r="H49" i="8"/>
  <c r="I49" i="8" s="1"/>
  <c r="H46" i="8"/>
  <c r="I46" i="8" s="1"/>
  <c r="H41" i="8"/>
  <c r="I41" i="8" s="1"/>
  <c r="H38" i="8"/>
  <c r="I38" i="8" s="1"/>
  <c r="H30" i="8"/>
  <c r="I30" i="8" s="1"/>
  <c r="H21" i="8"/>
  <c r="I21" i="8" s="1"/>
  <c r="H17" i="8"/>
  <c r="I17" i="8" s="1"/>
  <c r="H32" i="7"/>
  <c r="I32" i="7" s="1"/>
  <c r="H29" i="7"/>
  <c r="I29" i="7" s="1"/>
  <c r="H25" i="7"/>
  <c r="I25" i="7" s="1"/>
  <c r="H20" i="7"/>
  <c r="I20" i="7" s="1"/>
  <c r="H55" i="5"/>
  <c r="I55" i="5" s="1"/>
  <c r="H58" i="5"/>
  <c r="I58" i="5" s="1"/>
  <c r="H54" i="5"/>
  <c r="I54" i="5" s="1"/>
  <c r="H51" i="5"/>
  <c r="I51" i="5" s="1"/>
  <c r="H46" i="5"/>
  <c r="I46" i="5" s="1"/>
  <c r="H43" i="5"/>
  <c r="I43" i="5" s="1"/>
  <c r="H216" i="3"/>
  <c r="I216" i="3" s="1"/>
  <c r="H212" i="3"/>
  <c r="I212" i="3" s="1"/>
  <c r="H201" i="3"/>
  <c r="I201" i="3" s="1"/>
  <c r="H261" i="3"/>
  <c r="I261" i="3" s="1"/>
  <c r="H258" i="3"/>
  <c r="I258" i="3" s="1"/>
  <c r="H255" i="3"/>
  <c r="I255" i="3" s="1"/>
  <c r="I251" i="3"/>
  <c r="H251" i="3"/>
  <c r="I244" i="3"/>
  <c r="H244" i="3"/>
  <c r="H236" i="3"/>
  <c r="I236" i="3" s="1"/>
  <c r="H231" i="3"/>
  <c r="I231" i="3" s="1"/>
  <c r="H220" i="3"/>
  <c r="I220" i="3" s="1"/>
  <c r="H211" i="3"/>
  <c r="I211" i="3" s="1"/>
  <c r="H207" i="3"/>
  <c r="I207" i="3" s="1"/>
  <c r="H186" i="3"/>
  <c r="I186" i="3" s="1"/>
  <c r="H185" i="3"/>
  <c r="I185" i="3" s="1"/>
  <c r="I184" i="3"/>
  <c r="H184" i="3"/>
  <c r="I178" i="3"/>
  <c r="H178" i="3"/>
  <c r="H177" i="3"/>
  <c r="I177" i="3" s="1"/>
  <c r="I176" i="3"/>
  <c r="H176" i="3"/>
  <c r="H170" i="3"/>
  <c r="I170" i="3" s="1"/>
  <c r="H169" i="3"/>
  <c r="I169" i="3" s="1"/>
  <c r="H168" i="3"/>
  <c r="I168" i="3" s="1"/>
  <c r="H162" i="3"/>
  <c r="I162" i="3" s="1"/>
  <c r="H161" i="3"/>
  <c r="I161" i="3" s="1"/>
  <c r="H160" i="3"/>
  <c r="I160" i="3" s="1"/>
  <c r="H154" i="3"/>
  <c r="I154" i="3" s="1"/>
  <c r="H153" i="3"/>
  <c r="I153" i="3" s="1"/>
  <c r="H152" i="3"/>
  <c r="I152" i="3" s="1"/>
  <c r="H146" i="3"/>
  <c r="I146" i="3" s="1"/>
  <c r="H145" i="3"/>
  <c r="I145" i="3" s="1"/>
  <c r="H144" i="3"/>
  <c r="I144" i="3" s="1"/>
  <c r="H137" i="3"/>
  <c r="I137" i="3" s="1"/>
  <c r="H136" i="3"/>
  <c r="I136" i="3" s="1"/>
  <c r="H129" i="3"/>
  <c r="I129" i="3" s="1"/>
  <c r="H127" i="3"/>
  <c r="I127" i="3" s="1"/>
  <c r="H119" i="3"/>
  <c r="I119" i="3" s="1"/>
  <c r="H118" i="3"/>
  <c r="I118" i="3" s="1"/>
  <c r="H117" i="3"/>
  <c r="I117" i="3" s="1"/>
  <c r="H104" i="3"/>
  <c r="I104" i="3" s="1"/>
  <c r="H103" i="3"/>
  <c r="I103" i="3" s="1"/>
  <c r="H102" i="3"/>
  <c r="I102" i="3" s="1"/>
  <c r="H89" i="3"/>
  <c r="I89" i="3" s="1"/>
  <c r="H87" i="3"/>
  <c r="I87" i="3" s="1"/>
  <c r="H79" i="3"/>
  <c r="I79" i="3" s="1"/>
  <c r="H78" i="3"/>
  <c r="I78" i="3" s="1"/>
  <c r="H77" i="3"/>
  <c r="I77" i="3" s="1"/>
  <c r="H69" i="3"/>
  <c r="I69" i="3" s="1"/>
  <c r="H68" i="3"/>
  <c r="I68" i="3" s="1"/>
  <c r="H67" i="3"/>
  <c r="I67" i="3" s="1"/>
  <c r="I59" i="3"/>
  <c r="H59" i="3"/>
  <c r="I57" i="3"/>
  <c r="H57" i="3"/>
  <c r="H48" i="3"/>
  <c r="I48" i="3" s="1"/>
  <c r="H47" i="3"/>
  <c r="I47" i="3" s="1"/>
  <c r="I39" i="3"/>
  <c r="H39" i="3"/>
  <c r="H38" i="3"/>
  <c r="I38" i="3" s="1"/>
  <c r="H37" i="3"/>
  <c r="I37" i="3" s="1"/>
  <c r="H29" i="3"/>
  <c r="I29" i="3" s="1"/>
  <c r="H28" i="3"/>
  <c r="I28" i="3" s="1"/>
  <c r="I27" i="3"/>
  <c r="H27" i="3"/>
  <c r="G22" i="11" l="1"/>
  <c r="H22" i="11" s="1"/>
  <c r="I22" i="11" s="1"/>
  <c r="G122" i="8" l="1"/>
  <c r="H122" i="8" s="1"/>
  <c r="I122" i="8" s="1"/>
  <c r="G128" i="3"/>
  <c r="H128" i="3" s="1"/>
  <c r="I128" i="3" s="1"/>
  <c r="G88" i="3"/>
  <c r="H88" i="3" s="1"/>
  <c r="I88" i="3" s="1"/>
  <c r="G21" i="7"/>
  <c r="H21" i="7" s="1"/>
  <c r="I21" i="7" s="1"/>
  <c r="R151" i="11" l="1"/>
  <c r="R136" i="11"/>
  <c r="H94" i="11"/>
  <c r="I94" i="11" s="1"/>
  <c r="H91" i="11"/>
  <c r="I91" i="11" s="1"/>
  <c r="G275" i="3"/>
  <c r="H275" i="3"/>
  <c r="I275" i="3"/>
  <c r="F275" i="3"/>
  <c r="G23" i="11" l="1"/>
  <c r="H23" i="11" s="1"/>
  <c r="I23" i="11" s="1"/>
  <c r="G20" i="10"/>
  <c r="H20" i="10" s="1"/>
  <c r="I20" i="10" s="1"/>
  <c r="G22" i="9"/>
  <c r="H22" i="9" s="1"/>
  <c r="I22" i="9" s="1"/>
  <c r="G69" i="8"/>
  <c r="H69" i="8" s="1"/>
  <c r="I69" i="8" s="1"/>
  <c r="G138" i="3"/>
  <c r="H138" i="3" s="1"/>
  <c r="I138" i="3" s="1"/>
  <c r="G49" i="3"/>
  <c r="H49" i="3" s="1"/>
  <c r="I49" i="3" s="1"/>
  <c r="G35" i="12"/>
  <c r="H35" i="12" s="1"/>
  <c r="I35" i="12" s="1"/>
  <c r="G25" i="8"/>
  <c r="H25" i="8" l="1"/>
  <c r="G58" i="3"/>
  <c r="H58" i="3" s="1"/>
  <c r="I58" i="3" s="1"/>
  <c r="I25" i="8" l="1"/>
  <c r="G155" i="8"/>
  <c r="H155" i="8" l="1"/>
  <c r="G194" i="8"/>
  <c r="G20" i="5"/>
  <c r="I155" i="8" l="1"/>
  <c r="I194" i="8" s="1"/>
  <c r="H194" i="8"/>
  <c r="G164" i="11"/>
  <c r="G193" i="8" l="1"/>
  <c r="G81" i="8" l="1"/>
  <c r="H81" i="8"/>
  <c r="I81" i="8"/>
  <c r="F81" i="8"/>
  <c r="I164" i="11" l="1"/>
  <c r="H164" i="11"/>
  <c r="F164" i="11"/>
  <c r="G18" i="11"/>
  <c r="H18" i="11"/>
  <c r="I18" i="11"/>
  <c r="G111" i="10"/>
  <c r="H111" i="10"/>
  <c r="I111" i="10"/>
  <c r="F111" i="10"/>
  <c r="G270" i="3"/>
  <c r="I270" i="3"/>
  <c r="G81" i="5" l="1"/>
  <c r="H81" i="5"/>
  <c r="I81" i="5"/>
  <c r="F81" i="5"/>
  <c r="G78" i="5"/>
  <c r="H78" i="5"/>
  <c r="I78" i="5"/>
  <c r="F78" i="5"/>
  <c r="G166" i="8" l="1"/>
  <c r="H166" i="8"/>
  <c r="I166" i="8"/>
  <c r="G156" i="8"/>
  <c r="H156" i="8"/>
  <c r="I156" i="8"/>
  <c r="G144" i="8"/>
  <c r="H144" i="8"/>
  <c r="I144" i="8"/>
  <c r="G136" i="8"/>
  <c r="H136" i="8"/>
  <c r="I136" i="8"/>
  <c r="G133" i="8"/>
  <c r="H133" i="8"/>
  <c r="I133" i="8"/>
  <c r="G123" i="8"/>
  <c r="H123" i="8"/>
  <c r="I123" i="8"/>
  <c r="G120" i="8"/>
  <c r="H120" i="8"/>
  <c r="I120" i="8"/>
  <c r="G115" i="8"/>
  <c r="G116" i="8" s="1"/>
  <c r="H115" i="8"/>
  <c r="H116" i="8" s="1"/>
  <c r="I115" i="8"/>
  <c r="I116" i="8" s="1"/>
  <c r="G108" i="8"/>
  <c r="H108" i="8"/>
  <c r="I108" i="8"/>
  <c r="G103" i="8"/>
  <c r="H103" i="8"/>
  <c r="I103" i="8"/>
  <c r="G100" i="8"/>
  <c r="H100" i="8"/>
  <c r="I100" i="8"/>
  <c r="F100" i="8"/>
  <c r="G87" i="8"/>
  <c r="H87" i="8"/>
  <c r="I87" i="8"/>
  <c r="G84" i="8"/>
  <c r="H84" i="8"/>
  <c r="I84" i="8"/>
  <c r="G78" i="8"/>
  <c r="H78" i="8"/>
  <c r="I78" i="8"/>
  <c r="G74" i="8"/>
  <c r="H74" i="8"/>
  <c r="I74" i="8"/>
  <c r="G71" i="8"/>
  <c r="H71" i="8"/>
  <c r="I71" i="8"/>
  <c r="G66" i="8"/>
  <c r="H66" i="8"/>
  <c r="I66" i="8"/>
  <c r="G61" i="8"/>
  <c r="H61" i="8"/>
  <c r="I61" i="8"/>
  <c r="G51" i="8"/>
  <c r="H51" i="8"/>
  <c r="I51" i="8"/>
  <c r="G31" i="8"/>
  <c r="H31" i="8"/>
  <c r="I31" i="8"/>
  <c r="G27" i="8"/>
  <c r="H27" i="8"/>
  <c r="I27" i="8"/>
  <c r="G18" i="8"/>
  <c r="H18" i="8"/>
  <c r="I18" i="8"/>
  <c r="G195" i="8"/>
  <c r="H195" i="8"/>
  <c r="I195" i="8"/>
  <c r="H193" i="8"/>
  <c r="I193" i="8"/>
  <c r="H124" i="8" l="1"/>
  <c r="G124" i="8"/>
  <c r="I137" i="8"/>
  <c r="I109" i="8"/>
  <c r="G109" i="8"/>
  <c r="H137" i="8"/>
  <c r="H109" i="8"/>
  <c r="I124" i="8"/>
  <c r="G137" i="8"/>
  <c r="F78" i="8"/>
  <c r="F256" i="3" l="1"/>
  <c r="I159" i="8" l="1"/>
  <c r="H159" i="8"/>
  <c r="G159" i="8"/>
  <c r="F159" i="8"/>
  <c r="R159" i="8" l="1"/>
  <c r="F87" i="8" l="1"/>
  <c r="R87" i="8" l="1"/>
  <c r="G110" i="10" l="1"/>
  <c r="H110" i="10"/>
  <c r="I110" i="10"/>
  <c r="F110" i="10"/>
  <c r="I137" i="11" l="1"/>
  <c r="I138" i="11" s="1"/>
  <c r="H137" i="11"/>
  <c r="H138" i="11" s="1"/>
  <c r="G137" i="11"/>
  <c r="G138" i="11" s="1"/>
  <c r="F137" i="11"/>
  <c r="F138" i="11" s="1"/>
  <c r="I102" i="10" l="1"/>
  <c r="I103" i="10" s="1"/>
  <c r="I104" i="10" s="1"/>
  <c r="H102" i="10"/>
  <c r="H103" i="10" s="1"/>
  <c r="H104" i="10" s="1"/>
  <c r="G102" i="10"/>
  <c r="F102" i="10"/>
  <c r="F103" i="10" s="1"/>
  <c r="F104" i="10" s="1"/>
  <c r="R102" i="10" l="1"/>
  <c r="G103" i="10"/>
  <c r="G104" i="10" s="1"/>
  <c r="G40" i="9" l="1"/>
  <c r="H40" i="9"/>
  <c r="I40" i="9"/>
  <c r="I82" i="5" l="1"/>
  <c r="H82" i="5"/>
  <c r="G82" i="5"/>
  <c r="F82" i="5"/>
  <c r="I79" i="5"/>
  <c r="H79" i="5"/>
  <c r="G79" i="5"/>
  <c r="F79" i="5"/>
  <c r="I77" i="5"/>
  <c r="H77" i="5"/>
  <c r="I69" i="5"/>
  <c r="H69" i="5"/>
  <c r="G69" i="5"/>
  <c r="G70" i="5" s="1"/>
  <c r="G71" i="5" s="1"/>
  <c r="F69" i="5"/>
  <c r="F70" i="5" s="1"/>
  <c r="F71" i="5" s="1"/>
  <c r="I59" i="5"/>
  <c r="H59" i="5"/>
  <c r="G59" i="5"/>
  <c r="F59" i="5"/>
  <c r="I56" i="5"/>
  <c r="H56" i="5"/>
  <c r="G56" i="5"/>
  <c r="F56" i="5"/>
  <c r="I52" i="5"/>
  <c r="H52" i="5"/>
  <c r="G52" i="5"/>
  <c r="F52" i="5"/>
  <c r="I47" i="5"/>
  <c r="H47" i="5"/>
  <c r="G47" i="5"/>
  <c r="F47" i="5"/>
  <c r="I44" i="5"/>
  <c r="I48" i="5" s="1"/>
  <c r="H44" i="5"/>
  <c r="G44" i="5"/>
  <c r="G48" i="5" s="1"/>
  <c r="F44" i="5"/>
  <c r="F48" i="5" s="1"/>
  <c r="I39" i="5"/>
  <c r="H39" i="5"/>
  <c r="G39" i="5"/>
  <c r="F39" i="5"/>
  <c r="I32" i="5"/>
  <c r="I84" i="5" s="1"/>
  <c r="H32" i="5"/>
  <c r="H84" i="5" s="1"/>
  <c r="G32" i="5"/>
  <c r="G84" i="5" s="1"/>
  <c r="F32" i="5"/>
  <c r="I27" i="5"/>
  <c r="H27" i="5"/>
  <c r="G77" i="5"/>
  <c r="F77" i="5"/>
  <c r="I21" i="5"/>
  <c r="H21" i="5"/>
  <c r="G21" i="5"/>
  <c r="F21" i="5"/>
  <c r="I16" i="5"/>
  <c r="H16" i="5"/>
  <c r="G16" i="5"/>
  <c r="F16" i="5"/>
  <c r="H40" i="5" l="1"/>
  <c r="G60" i="5"/>
  <c r="H60" i="5"/>
  <c r="H83" i="5"/>
  <c r="I83" i="5"/>
  <c r="R47" i="5"/>
  <c r="R39" i="5"/>
  <c r="R59" i="5"/>
  <c r="I86" i="5"/>
  <c r="I40" i="5"/>
  <c r="H48" i="5"/>
  <c r="I60" i="5"/>
  <c r="F85" i="5"/>
  <c r="F83" i="5"/>
  <c r="R21" i="5"/>
  <c r="I85" i="5"/>
  <c r="H85" i="5"/>
  <c r="G83" i="5"/>
  <c r="G85" i="5"/>
  <c r="R56" i="5"/>
  <c r="H70" i="5"/>
  <c r="H71" i="5" s="1"/>
  <c r="H86" i="5"/>
  <c r="R44" i="5"/>
  <c r="I70" i="5"/>
  <c r="I71" i="5" s="1"/>
  <c r="R16" i="5"/>
  <c r="F27" i="5"/>
  <c r="F86" i="5" s="1"/>
  <c r="F60" i="5"/>
  <c r="G27" i="5"/>
  <c r="G40" i="5" s="1"/>
  <c r="G61" i="5" s="1"/>
  <c r="G72" i="5" s="1"/>
  <c r="R32" i="5"/>
  <c r="R52" i="5"/>
  <c r="H61" i="5" l="1"/>
  <c r="H72" i="5" s="1"/>
  <c r="H88" i="5" s="1"/>
  <c r="I61" i="5"/>
  <c r="I72" i="5" s="1"/>
  <c r="I88" i="5" s="1"/>
  <c r="G88" i="5"/>
  <c r="F40" i="5"/>
  <c r="F61" i="5" s="1"/>
  <c r="F72" i="5" s="1"/>
  <c r="F88" i="5" s="1"/>
  <c r="R27" i="5"/>
  <c r="G86" i="5"/>
  <c r="F220" i="3" l="1"/>
  <c r="F39" i="3"/>
  <c r="F112" i="11" l="1"/>
  <c r="F79" i="11"/>
  <c r="I94" i="10" l="1"/>
  <c r="H94" i="10"/>
  <c r="G94" i="10"/>
  <c r="F94" i="10"/>
  <c r="F71" i="10"/>
  <c r="R94" i="10" l="1"/>
  <c r="F28" i="9" l="1"/>
  <c r="F22" i="9"/>
  <c r="F40" i="9" s="1"/>
  <c r="F119" i="8" l="1"/>
  <c r="F193" i="8" s="1"/>
  <c r="F107" i="8"/>
  <c r="F73" i="8"/>
  <c r="F60" i="8"/>
  <c r="F194" i="8" s="1"/>
  <c r="F108" i="8" l="1"/>
  <c r="F195" i="8"/>
  <c r="G233" i="3"/>
  <c r="H233" i="3"/>
  <c r="I233" i="3"/>
  <c r="G271" i="3"/>
  <c r="H271" i="3"/>
  <c r="I271" i="3"/>
  <c r="F233" i="3"/>
  <c r="F199" i="8" l="1"/>
  <c r="F109" i="3"/>
  <c r="F271" i="3"/>
  <c r="F107" i="3"/>
  <c r="F92" i="3"/>
  <c r="F94" i="3"/>
  <c r="F270" i="3" l="1"/>
  <c r="R155" i="11"/>
  <c r="I155" i="11"/>
  <c r="H155" i="11"/>
  <c r="G155" i="11"/>
  <c r="F155" i="11"/>
  <c r="I193" i="3" l="1"/>
  <c r="I194" i="3" s="1"/>
  <c r="H193" i="3"/>
  <c r="H194" i="3" s="1"/>
  <c r="G193" i="3"/>
  <c r="F193" i="3"/>
  <c r="F194" i="3" s="1"/>
  <c r="G194" i="3" l="1"/>
  <c r="R193" i="3"/>
  <c r="F84" i="8"/>
  <c r="R81" i="8" l="1"/>
  <c r="R84" i="8"/>
  <c r="H272" i="3" l="1"/>
  <c r="I272" i="3"/>
  <c r="F272" i="3"/>
  <c r="I110" i="3"/>
  <c r="H110" i="3"/>
  <c r="F110" i="3"/>
  <c r="G95" i="3"/>
  <c r="H95" i="3"/>
  <c r="I95" i="3"/>
  <c r="F95" i="3"/>
  <c r="G110" i="3" l="1"/>
  <c r="R110" i="3" s="1"/>
  <c r="F276" i="3"/>
  <c r="R95" i="3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P10" i="12"/>
  <c r="O10" i="12"/>
  <c r="N10" i="12"/>
  <c r="M10" i="12"/>
  <c r="L10" i="12"/>
  <c r="C10" i="12"/>
  <c r="B10" i="12"/>
  <c r="A10" i="12"/>
  <c r="R9" i="12"/>
  <c r="Q9" i="12"/>
  <c r="N9" i="12"/>
  <c r="L9" i="12"/>
  <c r="K9" i="12"/>
  <c r="J9" i="12"/>
  <c r="I9" i="12"/>
  <c r="H9" i="12"/>
  <c r="G9" i="12"/>
  <c r="F9" i="12"/>
  <c r="E9" i="12"/>
  <c r="D9" i="12"/>
  <c r="A9" i="12"/>
  <c r="Q2" i="12"/>
  <c r="Q3" i="12"/>
  <c r="Q4" i="12"/>
  <c r="Q5" i="12"/>
  <c r="Q1" i="12"/>
  <c r="F19" i="12"/>
  <c r="G19" i="12"/>
  <c r="H19" i="12"/>
  <c r="I19" i="12"/>
  <c r="F22" i="12"/>
  <c r="G22" i="12"/>
  <c r="H22" i="12"/>
  <c r="I22" i="12"/>
  <c r="F26" i="12"/>
  <c r="G26" i="12"/>
  <c r="H26" i="12"/>
  <c r="I26" i="12"/>
  <c r="F30" i="12"/>
  <c r="G30" i="12"/>
  <c r="H30" i="12"/>
  <c r="I30" i="12"/>
  <c r="F33" i="12"/>
  <c r="G33" i="12"/>
  <c r="H33" i="12"/>
  <c r="I33" i="12"/>
  <c r="G36" i="12"/>
  <c r="F36" i="12"/>
  <c r="H36" i="12"/>
  <c r="I36" i="12"/>
  <c r="F39" i="12"/>
  <c r="G39" i="12"/>
  <c r="H39" i="12"/>
  <c r="I39" i="12"/>
  <c r="F47" i="12"/>
  <c r="G47" i="12"/>
  <c r="H47" i="12"/>
  <c r="I47" i="12"/>
  <c r="F48" i="12"/>
  <c r="G48" i="12"/>
  <c r="H48" i="12"/>
  <c r="I48" i="12"/>
  <c r="F49" i="12"/>
  <c r="H49" i="12"/>
  <c r="I49" i="12"/>
  <c r="S22" i="12" l="1"/>
  <c r="H55" i="12"/>
  <c r="G49" i="12"/>
  <c r="G53" i="12" s="1"/>
  <c r="R33" i="12"/>
  <c r="G55" i="12"/>
  <c r="F55" i="12"/>
  <c r="I55" i="12"/>
  <c r="H40" i="12"/>
  <c r="H41" i="12" s="1"/>
  <c r="H42" i="12" s="1"/>
  <c r="R30" i="12"/>
  <c r="R39" i="12"/>
  <c r="I40" i="12"/>
  <c r="I41" i="12" s="1"/>
  <c r="I42" i="12" s="1"/>
  <c r="F40" i="12"/>
  <c r="F41" i="12" s="1"/>
  <c r="F42" i="12" s="1"/>
  <c r="I53" i="12"/>
  <c r="F53" i="12"/>
  <c r="R36" i="12"/>
  <c r="H56" i="12"/>
  <c r="H53" i="12"/>
  <c r="R19" i="12"/>
  <c r="S30" i="12"/>
  <c r="G56" i="12"/>
  <c r="G40" i="12"/>
  <c r="G41" i="12" s="1"/>
  <c r="G42" i="12" s="1"/>
  <c r="R22" i="12"/>
  <c r="R26" i="12"/>
  <c r="I56" i="12"/>
  <c r="F56" i="12"/>
  <c r="H59" i="12" l="1"/>
  <c r="H58" i="12"/>
  <c r="I59" i="12"/>
  <c r="I58" i="12"/>
  <c r="G58" i="12"/>
  <c r="F58" i="12"/>
  <c r="G59" i="12"/>
  <c r="F59" i="12"/>
  <c r="R11" i="11" l="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P10" i="11"/>
  <c r="O10" i="11"/>
  <c r="N10" i="11"/>
  <c r="M10" i="11"/>
  <c r="L10" i="11"/>
  <c r="C10" i="11"/>
  <c r="B10" i="11"/>
  <c r="A10" i="11"/>
  <c r="R9" i="11"/>
  <c r="Q9" i="11"/>
  <c r="N9" i="11"/>
  <c r="L9" i="11"/>
  <c r="K9" i="11"/>
  <c r="J9" i="11"/>
  <c r="I9" i="11"/>
  <c r="H9" i="11"/>
  <c r="G9" i="11"/>
  <c r="F9" i="11"/>
  <c r="E9" i="11"/>
  <c r="D9" i="11"/>
  <c r="A9" i="11"/>
  <c r="Q2" i="11" l="1"/>
  <c r="Q3" i="11"/>
  <c r="Q4" i="11"/>
  <c r="Q5" i="11"/>
  <c r="Q1" i="11"/>
  <c r="F18" i="11"/>
  <c r="F24" i="11"/>
  <c r="H24" i="11"/>
  <c r="I24" i="11"/>
  <c r="F30" i="11"/>
  <c r="G30" i="11"/>
  <c r="H30" i="11"/>
  <c r="I30" i="11"/>
  <c r="F39" i="11"/>
  <c r="H39" i="11"/>
  <c r="I39" i="11"/>
  <c r="F45" i="11"/>
  <c r="G45" i="11"/>
  <c r="H45" i="11"/>
  <c r="I45" i="11"/>
  <c r="G48" i="11"/>
  <c r="F48" i="11"/>
  <c r="H48" i="11"/>
  <c r="I48" i="11"/>
  <c r="F53" i="11"/>
  <c r="G53" i="11"/>
  <c r="H53" i="11"/>
  <c r="I53" i="11"/>
  <c r="G56" i="11"/>
  <c r="F56" i="11"/>
  <c r="H56" i="11"/>
  <c r="I56" i="11"/>
  <c r="F59" i="11"/>
  <c r="G59" i="11"/>
  <c r="H59" i="11"/>
  <c r="I59" i="11"/>
  <c r="F64" i="11"/>
  <c r="G64" i="11"/>
  <c r="H64" i="11"/>
  <c r="I64" i="11"/>
  <c r="F67" i="11"/>
  <c r="G67" i="11"/>
  <c r="H67" i="11"/>
  <c r="I67" i="11"/>
  <c r="F70" i="11"/>
  <c r="G70" i="11"/>
  <c r="H70" i="11"/>
  <c r="I70" i="11"/>
  <c r="F73" i="11"/>
  <c r="H73" i="11"/>
  <c r="I73" i="11"/>
  <c r="G81" i="11"/>
  <c r="F81" i="11"/>
  <c r="H81" i="11"/>
  <c r="I81" i="11"/>
  <c r="F84" i="11"/>
  <c r="G84" i="11"/>
  <c r="H84" i="11"/>
  <c r="I84" i="11"/>
  <c r="F87" i="11"/>
  <c r="G87" i="11"/>
  <c r="H87" i="11"/>
  <c r="I87" i="11"/>
  <c r="F92" i="11"/>
  <c r="G92" i="11"/>
  <c r="H92" i="11"/>
  <c r="I92" i="11"/>
  <c r="F95" i="11"/>
  <c r="G95" i="11"/>
  <c r="H95" i="11"/>
  <c r="I95" i="11"/>
  <c r="F98" i="11"/>
  <c r="G98" i="11"/>
  <c r="H98" i="11"/>
  <c r="I98" i="11"/>
  <c r="G101" i="11"/>
  <c r="F101" i="11"/>
  <c r="H101" i="11"/>
  <c r="I101" i="11"/>
  <c r="F105" i="11"/>
  <c r="G105" i="11"/>
  <c r="H105" i="11"/>
  <c r="I105" i="11"/>
  <c r="F110" i="11"/>
  <c r="G110" i="11"/>
  <c r="H110" i="11"/>
  <c r="I110" i="11"/>
  <c r="G113" i="11"/>
  <c r="F113" i="11"/>
  <c r="H113" i="11"/>
  <c r="I113" i="11"/>
  <c r="F116" i="11"/>
  <c r="G116" i="11"/>
  <c r="H116" i="11"/>
  <c r="I116" i="11"/>
  <c r="F122" i="11"/>
  <c r="F123" i="11" s="1"/>
  <c r="G122" i="11"/>
  <c r="G123" i="11" s="1"/>
  <c r="H122" i="11"/>
  <c r="H123" i="11" s="1"/>
  <c r="I122" i="11"/>
  <c r="I123" i="11" s="1"/>
  <c r="F132" i="11"/>
  <c r="G132" i="11"/>
  <c r="G171" i="11" s="1"/>
  <c r="H132" i="11"/>
  <c r="H171" i="11" s="1"/>
  <c r="I132" i="11"/>
  <c r="I171" i="11" s="1"/>
  <c r="F144" i="11"/>
  <c r="G144" i="11"/>
  <c r="R144" i="11" s="1"/>
  <c r="H144" i="11"/>
  <c r="I144" i="11"/>
  <c r="F147" i="11"/>
  <c r="F163" i="11" s="1"/>
  <c r="G147" i="11"/>
  <c r="H147" i="11"/>
  <c r="H163" i="11" s="1"/>
  <c r="I147" i="11"/>
  <c r="I163" i="11" s="1"/>
  <c r="F151" i="11"/>
  <c r="G151" i="11"/>
  <c r="H151" i="11"/>
  <c r="I151" i="11"/>
  <c r="F165" i="11"/>
  <c r="H165" i="11"/>
  <c r="I165" i="11"/>
  <c r="G163" i="11" l="1"/>
  <c r="R147" i="11"/>
  <c r="I133" i="11"/>
  <c r="H133" i="11"/>
  <c r="F133" i="11"/>
  <c r="F171" i="11"/>
  <c r="I156" i="11"/>
  <c r="I157" i="11" s="1"/>
  <c r="H156" i="11"/>
  <c r="H157" i="11" s="1"/>
  <c r="G156" i="11"/>
  <c r="G157" i="11" s="1"/>
  <c r="F156" i="11"/>
  <c r="F157" i="11" s="1"/>
  <c r="R132" i="11"/>
  <c r="R98" i="11"/>
  <c r="R87" i="11"/>
  <c r="R84" i="11"/>
  <c r="R70" i="11"/>
  <c r="R67" i="11"/>
  <c r="R56" i="11"/>
  <c r="G24" i="11"/>
  <c r="R24" i="11" s="1"/>
  <c r="F169" i="11"/>
  <c r="G133" i="11"/>
  <c r="F117" i="11"/>
  <c r="F106" i="11"/>
  <c r="R45" i="11"/>
  <c r="I117" i="11"/>
  <c r="R110" i="11"/>
  <c r="R64" i="11"/>
  <c r="R53" i="11"/>
  <c r="R18" i="11"/>
  <c r="H169" i="11"/>
  <c r="H172" i="11" s="1"/>
  <c r="I106" i="11"/>
  <c r="G39" i="11"/>
  <c r="R39" i="11" s="1"/>
  <c r="R30" i="11"/>
  <c r="I169" i="11"/>
  <c r="I172" i="11" s="1"/>
  <c r="R116" i="11"/>
  <c r="H106" i="11"/>
  <c r="R92" i="11"/>
  <c r="R59" i="11"/>
  <c r="I49" i="11"/>
  <c r="F49" i="11"/>
  <c r="H49" i="11"/>
  <c r="H117" i="11"/>
  <c r="R81" i="11"/>
  <c r="R113" i="11"/>
  <c r="R101" i="11"/>
  <c r="R95" i="11"/>
  <c r="R48" i="11"/>
  <c r="G165" i="11"/>
  <c r="R105" i="11"/>
  <c r="G73" i="11"/>
  <c r="R73" i="11" s="1"/>
  <c r="R122" i="11"/>
  <c r="G117" i="11"/>
  <c r="I139" i="11" l="1"/>
  <c r="I158" i="11" s="1"/>
  <c r="I174" i="11" s="1"/>
  <c r="H139" i="11"/>
  <c r="H158" i="11" s="1"/>
  <c r="H174" i="11" s="1"/>
  <c r="F139" i="11"/>
  <c r="F158" i="11" s="1"/>
  <c r="F174" i="11" s="1"/>
  <c r="G49" i="11"/>
  <c r="F172" i="11"/>
  <c r="G106" i="11"/>
  <c r="G169" i="11"/>
  <c r="G172" i="11" s="1"/>
  <c r="G139" i="11" l="1"/>
  <c r="G158" i="11" s="1"/>
  <c r="G174" i="11" s="1"/>
  <c r="R11" i="10" l="1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P10" i="10"/>
  <c r="O10" i="10"/>
  <c r="N10" i="10"/>
  <c r="M10" i="10"/>
  <c r="L10" i="10"/>
  <c r="C10" i="10"/>
  <c r="B10" i="10"/>
  <c r="A10" i="10"/>
  <c r="R9" i="10"/>
  <c r="Q9" i="10"/>
  <c r="N9" i="10"/>
  <c r="L9" i="10"/>
  <c r="K9" i="10"/>
  <c r="J9" i="10"/>
  <c r="I9" i="10"/>
  <c r="H9" i="10"/>
  <c r="G9" i="10"/>
  <c r="F9" i="10"/>
  <c r="E9" i="10"/>
  <c r="D9" i="10"/>
  <c r="A9" i="10"/>
  <c r="Q2" i="10"/>
  <c r="Q3" i="10"/>
  <c r="Q4" i="10"/>
  <c r="Q5" i="10"/>
  <c r="Q1" i="10"/>
  <c r="G21" i="10"/>
  <c r="F21" i="10"/>
  <c r="H21" i="10"/>
  <c r="I21" i="10"/>
  <c r="F27" i="10"/>
  <c r="G27" i="10"/>
  <c r="H27" i="10"/>
  <c r="I27" i="10"/>
  <c r="F33" i="10"/>
  <c r="G33" i="10"/>
  <c r="H33" i="10"/>
  <c r="I33" i="10"/>
  <c r="F39" i="10"/>
  <c r="G39" i="10"/>
  <c r="H39" i="10"/>
  <c r="I39" i="10"/>
  <c r="F45" i="10"/>
  <c r="G45" i="10"/>
  <c r="H45" i="10"/>
  <c r="I45" i="10"/>
  <c r="F58" i="10"/>
  <c r="G58" i="10"/>
  <c r="H58" i="10"/>
  <c r="I58" i="10"/>
  <c r="F65" i="10"/>
  <c r="G65" i="10"/>
  <c r="H65" i="10"/>
  <c r="I65" i="10"/>
  <c r="F72" i="10"/>
  <c r="G72" i="10"/>
  <c r="H72" i="10"/>
  <c r="I72" i="10"/>
  <c r="F75" i="10"/>
  <c r="G75" i="10"/>
  <c r="H75" i="10"/>
  <c r="I75" i="10"/>
  <c r="F82" i="10"/>
  <c r="G82" i="10"/>
  <c r="H82" i="10"/>
  <c r="I82" i="10"/>
  <c r="F85" i="10"/>
  <c r="G85" i="10"/>
  <c r="H85" i="10"/>
  <c r="I85" i="10"/>
  <c r="F88" i="10"/>
  <c r="G88" i="10"/>
  <c r="H88" i="10"/>
  <c r="I88" i="10"/>
  <c r="F91" i="10"/>
  <c r="G91" i="10"/>
  <c r="H91" i="10"/>
  <c r="I91" i="10"/>
  <c r="F112" i="10"/>
  <c r="H112" i="10"/>
  <c r="I112" i="10"/>
  <c r="F119" i="10" l="1"/>
  <c r="I95" i="10"/>
  <c r="I96" i="10" s="1"/>
  <c r="G119" i="10"/>
  <c r="I119" i="10"/>
  <c r="H119" i="10"/>
  <c r="H95" i="10"/>
  <c r="H96" i="10" s="1"/>
  <c r="G95" i="10"/>
  <c r="G96" i="10" s="1"/>
  <c r="F95" i="10"/>
  <c r="F96" i="10" s="1"/>
  <c r="I76" i="10"/>
  <c r="I77" i="10" s="1"/>
  <c r="I46" i="10"/>
  <c r="I47" i="10" s="1"/>
  <c r="H118" i="10"/>
  <c r="H76" i="10"/>
  <c r="H77" i="10" s="1"/>
  <c r="H46" i="10"/>
  <c r="H47" i="10" s="1"/>
  <c r="G118" i="10"/>
  <c r="G76" i="10"/>
  <c r="G77" i="10" s="1"/>
  <c r="F46" i="10"/>
  <c r="F47" i="10" s="1"/>
  <c r="I118" i="10"/>
  <c r="F118" i="10"/>
  <c r="F76" i="10"/>
  <c r="F77" i="10" s="1"/>
  <c r="G46" i="10"/>
  <c r="G47" i="10" s="1"/>
  <c r="G112" i="10"/>
  <c r="G116" i="10" s="1"/>
  <c r="R72" i="10"/>
  <c r="R65" i="10"/>
  <c r="R27" i="10"/>
  <c r="R88" i="10"/>
  <c r="R45" i="10"/>
  <c r="I116" i="10"/>
  <c r="F116" i="10"/>
  <c r="H116" i="10"/>
  <c r="R82" i="10"/>
  <c r="R58" i="10"/>
  <c r="R39" i="10"/>
  <c r="R75" i="10"/>
  <c r="R33" i="10"/>
  <c r="R21" i="10"/>
  <c r="R91" i="10"/>
  <c r="R85" i="10"/>
  <c r="F105" i="10" l="1"/>
  <c r="G105" i="10"/>
  <c r="G121" i="10" s="1"/>
  <c r="F122" i="10"/>
  <c r="H105" i="10"/>
  <c r="H122" i="10" s="1"/>
  <c r="I105" i="10"/>
  <c r="I121" i="10" s="1"/>
  <c r="I122" i="10" l="1"/>
  <c r="F121" i="10"/>
  <c r="H121" i="10"/>
  <c r="G122" i="10"/>
  <c r="R11" i="9" l="1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P10" i="9"/>
  <c r="O10" i="9"/>
  <c r="N10" i="9"/>
  <c r="M10" i="9"/>
  <c r="L10" i="9"/>
  <c r="C10" i="9"/>
  <c r="B10" i="9"/>
  <c r="A10" i="9"/>
  <c r="R9" i="9"/>
  <c r="Q9" i="9"/>
  <c r="N9" i="9"/>
  <c r="L9" i="9"/>
  <c r="K9" i="9"/>
  <c r="J9" i="9"/>
  <c r="I9" i="9"/>
  <c r="H9" i="9"/>
  <c r="G9" i="9"/>
  <c r="F9" i="9"/>
  <c r="E9" i="9"/>
  <c r="D9" i="9"/>
  <c r="A9" i="9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P10" i="8"/>
  <c r="O10" i="8"/>
  <c r="N10" i="8"/>
  <c r="M10" i="8"/>
  <c r="L10" i="8"/>
  <c r="C10" i="8"/>
  <c r="B10" i="8"/>
  <c r="A10" i="8"/>
  <c r="R9" i="8"/>
  <c r="Q9" i="8"/>
  <c r="N9" i="8"/>
  <c r="L9" i="8"/>
  <c r="K9" i="8"/>
  <c r="J9" i="8"/>
  <c r="I9" i="8"/>
  <c r="H9" i="8"/>
  <c r="G9" i="8"/>
  <c r="F9" i="8"/>
  <c r="E9" i="8"/>
  <c r="D9" i="8"/>
  <c r="A9" i="8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P10" i="7"/>
  <c r="O10" i="7"/>
  <c r="N10" i="7"/>
  <c r="M10" i="7"/>
  <c r="L10" i="7"/>
  <c r="C10" i="7"/>
  <c r="B10" i="7"/>
  <c r="A10" i="7"/>
  <c r="R9" i="7"/>
  <c r="Q9" i="7"/>
  <c r="N9" i="7"/>
  <c r="L9" i="7"/>
  <c r="K9" i="7"/>
  <c r="J9" i="7"/>
  <c r="I9" i="7"/>
  <c r="H9" i="7"/>
  <c r="G9" i="7"/>
  <c r="F9" i="7"/>
  <c r="E9" i="7"/>
  <c r="D9" i="7"/>
  <c r="A9" i="7"/>
  <c r="R9" i="5"/>
  <c r="Q9" i="5"/>
  <c r="O10" i="5"/>
  <c r="P10" i="5"/>
  <c r="N10" i="5"/>
  <c r="M10" i="5"/>
  <c r="N9" i="5"/>
  <c r="L10" i="5"/>
  <c r="L9" i="5"/>
  <c r="F9" i="5"/>
  <c r="G9" i="5"/>
  <c r="H9" i="5"/>
  <c r="I9" i="5"/>
  <c r="J9" i="5"/>
  <c r="K9" i="5"/>
  <c r="E9" i="5"/>
  <c r="D9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A11" i="5"/>
  <c r="B10" i="5"/>
  <c r="C10" i="5"/>
  <c r="A10" i="5"/>
  <c r="A9" i="5"/>
  <c r="Q2" i="9" l="1"/>
  <c r="Q3" i="9"/>
  <c r="Q4" i="9"/>
  <c r="Q5" i="9"/>
  <c r="Q1" i="9"/>
  <c r="F23" i="9"/>
  <c r="F24" i="9" s="1"/>
  <c r="H23" i="9"/>
  <c r="H24" i="9" s="1"/>
  <c r="I23" i="9"/>
  <c r="I24" i="9" s="1"/>
  <c r="G29" i="9"/>
  <c r="F29" i="9"/>
  <c r="F30" i="9" s="1"/>
  <c r="H29" i="9"/>
  <c r="H30" i="9" s="1"/>
  <c r="I29" i="9"/>
  <c r="I30" i="9" s="1"/>
  <c r="F37" i="9"/>
  <c r="G37" i="9"/>
  <c r="H37" i="9"/>
  <c r="I37" i="9"/>
  <c r="F38" i="9"/>
  <c r="H38" i="9"/>
  <c r="I38" i="9"/>
  <c r="G38" i="9" l="1"/>
  <c r="G43" i="9" s="1"/>
  <c r="F43" i="9"/>
  <c r="H43" i="9"/>
  <c r="G23" i="9"/>
  <c r="I43" i="9"/>
  <c r="H31" i="9"/>
  <c r="H32" i="9" s="1"/>
  <c r="R29" i="9"/>
  <c r="G30" i="9"/>
  <c r="I46" i="9"/>
  <c r="F46" i="9"/>
  <c r="I31" i="9"/>
  <c r="I32" i="9" s="1"/>
  <c r="F31" i="9"/>
  <c r="F32" i="9" s="1"/>
  <c r="F48" i="9" s="1"/>
  <c r="H46" i="9"/>
  <c r="H49" i="9" l="1"/>
  <c r="I49" i="9"/>
  <c r="F49" i="9"/>
  <c r="R23" i="9"/>
  <c r="G24" i="9"/>
  <c r="G31" i="9" s="1"/>
  <c r="G32" i="9" s="1"/>
  <c r="H48" i="9"/>
  <c r="I48" i="9"/>
  <c r="G46" i="9"/>
  <c r="G49" i="9" l="1"/>
  <c r="G48" i="9"/>
  <c r="F115" i="8" l="1"/>
  <c r="R78" i="8" l="1"/>
  <c r="Q2" i="8"/>
  <c r="Q3" i="8"/>
  <c r="Q4" i="8"/>
  <c r="Q5" i="8"/>
  <c r="Q1" i="8"/>
  <c r="F18" i="8"/>
  <c r="F22" i="8"/>
  <c r="G22" i="8"/>
  <c r="H22" i="8"/>
  <c r="I22" i="8"/>
  <c r="F27" i="8"/>
  <c r="F31" i="8"/>
  <c r="F39" i="8"/>
  <c r="G39" i="8"/>
  <c r="H39" i="8"/>
  <c r="I39" i="8"/>
  <c r="F42" i="8"/>
  <c r="G42" i="8"/>
  <c r="H42" i="8"/>
  <c r="I42" i="8"/>
  <c r="F47" i="8"/>
  <c r="G47" i="8"/>
  <c r="H47" i="8"/>
  <c r="I47" i="8"/>
  <c r="F51" i="8"/>
  <c r="F57" i="8"/>
  <c r="G57" i="8"/>
  <c r="H57" i="8"/>
  <c r="I57" i="8"/>
  <c r="F61" i="8"/>
  <c r="F66" i="8"/>
  <c r="F71" i="8"/>
  <c r="F74" i="8"/>
  <c r="F103" i="8"/>
  <c r="F109" i="8" s="1"/>
  <c r="F116" i="8"/>
  <c r="F120" i="8"/>
  <c r="F123" i="8"/>
  <c r="R123" i="8" s="1"/>
  <c r="F133" i="8"/>
  <c r="F136" i="8"/>
  <c r="F144" i="8"/>
  <c r="F148" i="8"/>
  <c r="G148" i="8"/>
  <c r="G149" i="8" s="1"/>
  <c r="G150" i="8" s="1"/>
  <c r="H148" i="8"/>
  <c r="H149" i="8" s="1"/>
  <c r="H150" i="8" s="1"/>
  <c r="I148" i="8"/>
  <c r="I149" i="8" s="1"/>
  <c r="I150" i="8" s="1"/>
  <c r="F156" i="8"/>
  <c r="F160" i="8" s="1"/>
  <c r="G160" i="8"/>
  <c r="G161" i="8" s="1"/>
  <c r="F166" i="8"/>
  <c r="H167" i="8"/>
  <c r="H168" i="8" s="1"/>
  <c r="I167" i="8"/>
  <c r="I168" i="8" s="1"/>
  <c r="F177" i="8"/>
  <c r="F178" i="8" s="1"/>
  <c r="F179" i="8" s="1"/>
  <c r="G177" i="8"/>
  <c r="H177" i="8"/>
  <c r="H178" i="8" s="1"/>
  <c r="H179" i="8" s="1"/>
  <c r="I177" i="8"/>
  <c r="I178" i="8" s="1"/>
  <c r="I179" i="8" s="1"/>
  <c r="F185" i="8"/>
  <c r="F186" i="8" s="1"/>
  <c r="F187" i="8" s="1"/>
  <c r="G185" i="8"/>
  <c r="G186" i="8" s="1"/>
  <c r="G187" i="8" s="1"/>
  <c r="H185" i="8"/>
  <c r="H186" i="8" s="1"/>
  <c r="H187" i="8" s="1"/>
  <c r="I185" i="8"/>
  <c r="I186" i="8" s="1"/>
  <c r="I187" i="8" s="1"/>
  <c r="G199" i="8"/>
  <c r="F149" i="8" l="1"/>
  <c r="F124" i="8"/>
  <c r="F137" i="8"/>
  <c r="H88" i="8"/>
  <c r="H125" i="8" s="1"/>
  <c r="G88" i="8"/>
  <c r="G125" i="8" s="1"/>
  <c r="F150" i="8"/>
  <c r="F88" i="8"/>
  <c r="I88" i="8"/>
  <c r="I125" i="8" s="1"/>
  <c r="F201" i="8"/>
  <c r="I201" i="8"/>
  <c r="H201" i="8"/>
  <c r="G201" i="8"/>
  <c r="F167" i="8"/>
  <c r="F168" i="8" s="1"/>
  <c r="F161" i="8"/>
  <c r="I160" i="8"/>
  <c r="I161" i="8" s="1"/>
  <c r="H160" i="8"/>
  <c r="H161" i="8" s="1"/>
  <c r="R166" i="8"/>
  <c r="R156" i="8"/>
  <c r="R148" i="8"/>
  <c r="R144" i="8"/>
  <c r="R136" i="8"/>
  <c r="R133" i="8"/>
  <c r="R120" i="8"/>
  <c r="R108" i="8"/>
  <c r="R103" i="8"/>
  <c r="R100" i="8"/>
  <c r="R74" i="8"/>
  <c r="R71" i="8"/>
  <c r="R66" i="8"/>
  <c r="R61" i="8"/>
  <c r="R57" i="8"/>
  <c r="R51" i="8"/>
  <c r="R47" i="8"/>
  <c r="R42" i="8"/>
  <c r="R39" i="8"/>
  <c r="R31" i="8"/>
  <c r="R27" i="8"/>
  <c r="R22" i="8"/>
  <c r="R185" i="8"/>
  <c r="R115" i="8"/>
  <c r="R177" i="8"/>
  <c r="R18" i="8"/>
  <c r="G167" i="8"/>
  <c r="G168" i="8" s="1"/>
  <c r="I199" i="8"/>
  <c r="H199" i="8"/>
  <c r="G178" i="8"/>
  <c r="G179" i="8" s="1"/>
  <c r="F125" i="8" l="1"/>
  <c r="H188" i="8"/>
  <c r="I188" i="8"/>
  <c r="I204" i="8" s="1"/>
  <c r="G188" i="8"/>
  <c r="F188" i="8" l="1"/>
  <c r="I202" i="8"/>
  <c r="H202" i="8"/>
  <c r="G202" i="8"/>
  <c r="G205" i="8" l="1"/>
  <c r="I205" i="8"/>
  <c r="H205" i="8"/>
  <c r="F202" i="8"/>
  <c r="F204" i="8"/>
  <c r="H204" i="8"/>
  <c r="G204" i="8"/>
  <c r="Q2" i="7"/>
  <c r="Q3" i="7"/>
  <c r="Q4" i="7"/>
  <c r="Q5" i="7"/>
  <c r="Q1" i="7"/>
  <c r="F22" i="7"/>
  <c r="G22" i="7"/>
  <c r="H22" i="7"/>
  <c r="I22" i="7"/>
  <c r="H26" i="7"/>
  <c r="I26" i="7"/>
  <c r="F26" i="7"/>
  <c r="G26" i="7"/>
  <c r="F30" i="7"/>
  <c r="F49" i="7" s="1"/>
  <c r="G30" i="7"/>
  <c r="H30" i="7"/>
  <c r="H49" i="7" s="1"/>
  <c r="I30" i="7"/>
  <c r="I49" i="7" s="1"/>
  <c r="F33" i="7"/>
  <c r="F42" i="7" s="1"/>
  <c r="G33" i="7"/>
  <c r="G42" i="7" s="1"/>
  <c r="H33" i="7"/>
  <c r="H42" i="7" s="1"/>
  <c r="I33" i="7"/>
  <c r="I42" i="7" s="1"/>
  <c r="F205" i="8" l="1"/>
  <c r="G49" i="7"/>
  <c r="R30" i="7"/>
  <c r="R26" i="7"/>
  <c r="F41" i="7"/>
  <c r="I41" i="7"/>
  <c r="H50" i="7"/>
  <c r="H41" i="7"/>
  <c r="F50" i="7"/>
  <c r="G50" i="7"/>
  <c r="G41" i="7"/>
  <c r="I50" i="7"/>
  <c r="F34" i="7"/>
  <c r="R22" i="7"/>
  <c r="S30" i="7"/>
  <c r="I34" i="7"/>
  <c r="H34" i="7"/>
  <c r="R33" i="7"/>
  <c r="F47" i="7"/>
  <c r="G34" i="7"/>
  <c r="G47" i="7" l="1"/>
  <c r="I47" i="7"/>
  <c r="H47" i="7"/>
  <c r="I35" i="7"/>
  <c r="I36" i="7" s="1"/>
  <c r="G35" i="7"/>
  <c r="G36" i="7" s="1"/>
  <c r="F35" i="7"/>
  <c r="F36" i="7" s="1"/>
  <c r="H35" i="7"/>
  <c r="H36" i="7" s="1"/>
  <c r="H53" i="7" l="1"/>
  <c r="H52" i="7"/>
  <c r="F53" i="7"/>
  <c r="F52" i="7"/>
  <c r="G53" i="7"/>
  <c r="G52" i="7"/>
  <c r="I52" i="7"/>
  <c r="I53" i="7"/>
  <c r="Q2" i="5"/>
  <c r="Q3" i="5"/>
  <c r="Q4" i="5"/>
  <c r="Q5" i="5"/>
  <c r="Q1" i="5"/>
  <c r="G272" i="3" l="1"/>
  <c r="G217" i="3" l="1"/>
  <c r="H217" i="3"/>
  <c r="I217" i="3"/>
  <c r="F217" i="3"/>
  <c r="G262" i="3" l="1"/>
  <c r="H262" i="3"/>
  <c r="I262" i="3"/>
  <c r="G245" i="3"/>
  <c r="H245" i="3"/>
  <c r="H246" i="3" s="1"/>
  <c r="H247" i="3" s="1"/>
  <c r="I245" i="3"/>
  <c r="I246" i="3" s="1"/>
  <c r="I247" i="3" s="1"/>
  <c r="G237" i="3"/>
  <c r="H237" i="3"/>
  <c r="I237" i="3"/>
  <c r="G221" i="3"/>
  <c r="H221" i="3"/>
  <c r="I221" i="3"/>
  <c r="G202" i="3"/>
  <c r="H202" i="3"/>
  <c r="H203" i="3" s="1"/>
  <c r="I202" i="3"/>
  <c r="I203" i="3" s="1"/>
  <c r="F202" i="3"/>
  <c r="I187" i="3"/>
  <c r="H187" i="3"/>
  <c r="G187" i="3"/>
  <c r="F187" i="3"/>
  <c r="I179" i="3"/>
  <c r="H179" i="3"/>
  <c r="G179" i="3"/>
  <c r="F179" i="3"/>
  <c r="I171" i="3"/>
  <c r="H171" i="3"/>
  <c r="G171" i="3"/>
  <c r="F171" i="3"/>
  <c r="I163" i="3"/>
  <c r="H163" i="3"/>
  <c r="G163" i="3"/>
  <c r="F163" i="3"/>
  <c r="I155" i="3"/>
  <c r="H155" i="3"/>
  <c r="G155" i="3"/>
  <c r="F155" i="3"/>
  <c r="I147" i="3"/>
  <c r="H147" i="3"/>
  <c r="G147" i="3"/>
  <c r="F147" i="3"/>
  <c r="I139" i="3"/>
  <c r="H139" i="3"/>
  <c r="G139" i="3"/>
  <c r="F139" i="3"/>
  <c r="I130" i="3"/>
  <c r="H130" i="3"/>
  <c r="G130" i="3"/>
  <c r="F130" i="3"/>
  <c r="I120" i="3"/>
  <c r="H120" i="3"/>
  <c r="G120" i="3"/>
  <c r="F120" i="3"/>
  <c r="I105" i="3"/>
  <c r="H105" i="3"/>
  <c r="G105" i="3"/>
  <c r="F105" i="3"/>
  <c r="I90" i="3"/>
  <c r="H90" i="3"/>
  <c r="G90" i="3"/>
  <c r="F90" i="3"/>
  <c r="I80" i="3"/>
  <c r="H80" i="3"/>
  <c r="G80" i="3"/>
  <c r="F80" i="3"/>
  <c r="I70" i="3"/>
  <c r="H70" i="3"/>
  <c r="G70" i="3"/>
  <c r="F70" i="3"/>
  <c r="I60" i="3"/>
  <c r="H60" i="3"/>
  <c r="G60" i="3"/>
  <c r="F60" i="3"/>
  <c r="I50" i="3"/>
  <c r="H50" i="3"/>
  <c r="G50" i="3"/>
  <c r="F50" i="3"/>
  <c r="I40" i="3"/>
  <c r="H40" i="3"/>
  <c r="G40" i="3"/>
  <c r="F40" i="3"/>
  <c r="G30" i="3"/>
  <c r="I30" i="3"/>
  <c r="F30" i="3"/>
  <c r="G188" i="3" l="1"/>
  <c r="G195" i="3" s="1"/>
  <c r="F188" i="3"/>
  <c r="F195" i="3" s="1"/>
  <c r="I188" i="3"/>
  <c r="I195" i="3" s="1"/>
  <c r="R30" i="3"/>
  <c r="R80" i="3"/>
  <c r="R171" i="3"/>
  <c r="R155" i="3"/>
  <c r="R139" i="3"/>
  <c r="R130" i="3"/>
  <c r="R60" i="3"/>
  <c r="R50" i="3"/>
  <c r="R40" i="3"/>
  <c r="G246" i="3"/>
  <c r="G247" i="3" s="1"/>
  <c r="G203" i="3"/>
  <c r="R202" i="3"/>
  <c r="R187" i="3"/>
  <c r="R179" i="3"/>
  <c r="R163" i="3"/>
  <c r="R147" i="3"/>
  <c r="R120" i="3"/>
  <c r="R105" i="3"/>
  <c r="R90" i="3"/>
  <c r="R70" i="3"/>
  <c r="H238" i="3"/>
  <c r="H239" i="3" s="1"/>
  <c r="I238" i="3"/>
  <c r="I239" i="3" s="1"/>
  <c r="G238" i="3"/>
  <c r="G239" i="3" s="1"/>
  <c r="G276" i="3"/>
  <c r="I276" i="3" l="1"/>
  <c r="G213" i="3"/>
  <c r="H213" i="3"/>
  <c r="I213" i="3"/>
  <c r="F213" i="3"/>
  <c r="R213" i="3" l="1"/>
  <c r="F203" i="3" l="1"/>
  <c r="F262" i="3" l="1"/>
  <c r="R262" i="3" s="1"/>
  <c r="I259" i="3"/>
  <c r="H259" i="3"/>
  <c r="G259" i="3"/>
  <c r="F259" i="3"/>
  <c r="I256" i="3"/>
  <c r="H256" i="3"/>
  <c r="G256" i="3"/>
  <c r="I252" i="3"/>
  <c r="H252" i="3"/>
  <c r="G252" i="3"/>
  <c r="F252" i="3"/>
  <c r="F245" i="3"/>
  <c r="R245" i="3" s="1"/>
  <c r="F237" i="3"/>
  <c r="R237" i="3" s="1"/>
  <c r="R233" i="3"/>
  <c r="F221" i="3"/>
  <c r="R221" i="3" s="1"/>
  <c r="I208" i="3"/>
  <c r="H208" i="3"/>
  <c r="G208" i="3"/>
  <c r="F208" i="3"/>
  <c r="F263" i="3" l="1"/>
  <c r="F264" i="3" s="1"/>
  <c r="R259" i="3"/>
  <c r="R208" i="3"/>
  <c r="R256" i="3"/>
  <c r="R252" i="3"/>
  <c r="R217" i="3"/>
  <c r="H263" i="3"/>
  <c r="H264" i="3" s="1"/>
  <c r="I222" i="3"/>
  <c r="I223" i="3" s="1"/>
  <c r="F222" i="3"/>
  <c r="F223" i="3" s="1"/>
  <c r="I263" i="3"/>
  <c r="I264" i="3" s="1"/>
  <c r="G222" i="3"/>
  <c r="G223" i="3" s="1"/>
  <c r="G263" i="3"/>
  <c r="G264" i="3" s="1"/>
  <c r="H222" i="3"/>
  <c r="H223" i="3" s="1"/>
  <c r="F238" i="3"/>
  <c r="F239" i="3" s="1"/>
  <c r="F246" i="3"/>
  <c r="F247" i="3" s="1"/>
  <c r="F265" i="3" l="1"/>
  <c r="G265" i="3"/>
  <c r="G279" i="3" s="1"/>
  <c r="I265" i="3"/>
  <c r="I279" i="3" s="1"/>
  <c r="I282" i="3" l="1"/>
  <c r="G282" i="3"/>
  <c r="F279" i="3"/>
  <c r="F281" i="3"/>
  <c r="G281" i="3"/>
  <c r="I281" i="3"/>
  <c r="F282" i="3" l="1"/>
  <c r="H30" i="3" l="1"/>
  <c r="H188" i="3" s="1"/>
  <c r="H195" i="3" s="1"/>
  <c r="H265" i="3" s="1"/>
  <c r="H279" i="3" s="1"/>
  <c r="H270" i="3"/>
  <c r="H282" i="3" l="1"/>
  <c r="H276" i="3"/>
  <c r="H281" i="3" s="1"/>
</calcChain>
</file>

<file path=xl/sharedStrings.xml><?xml version="1.0" encoding="utf-8"?>
<sst xmlns="http://schemas.openxmlformats.org/spreadsheetml/2006/main" count="3259" uniqueCount="1027">
  <si>
    <t>01</t>
  </si>
  <si>
    <t>pavadinimas</t>
  </si>
  <si>
    <t>Iš viso uždaviniui</t>
  </si>
  <si>
    <t>Iš viso programai</t>
  </si>
  <si>
    <t>Finansavimo šaltinių suvestinė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</si>
  <si>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</si>
  <si>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</si>
  <si>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</si>
  <si>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</si>
  <si>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mato vnt.</t>
  </si>
  <si>
    <t>02</t>
  </si>
  <si>
    <t>proc.</t>
  </si>
  <si>
    <t>vnt.</t>
  </si>
  <si>
    <t xml:space="preserve">Savivaldybės biudžeto lėšos </t>
  </si>
  <si>
    <t>SB</t>
  </si>
  <si>
    <t>SB (VB)</t>
  </si>
  <si>
    <t xml:space="preserve">Pajamos už prekes ir paslaugos </t>
  </si>
  <si>
    <t>SB (SP)</t>
  </si>
  <si>
    <t>P</t>
  </si>
  <si>
    <t>x</t>
  </si>
  <si>
    <t xml:space="preserve">Valstybės biudžeto dotacijos lėšos </t>
  </si>
  <si>
    <t>TP</t>
  </si>
  <si>
    <t>Iš viso priemonei:</t>
  </si>
  <si>
    <t>Tikrinimas</t>
  </si>
  <si>
    <t>03</t>
  </si>
  <si>
    <t>04</t>
  </si>
  <si>
    <t>05</t>
  </si>
  <si>
    <t>06</t>
  </si>
  <si>
    <t>07</t>
  </si>
  <si>
    <t>R-001-01-01-02</t>
  </si>
  <si>
    <t>R-001-01-01-03</t>
  </si>
  <si>
    <t>T</t>
  </si>
  <si>
    <t>Akademiko Adolfo Jucio progimnazijos veikla</t>
  </si>
  <si>
    <t>Be pateisinamos priežasties praleistų pamokų dalis nuo visų praleistų pamokų skaičiaus</t>
  </si>
  <si>
    <t>"Saulės" gimnazijos veikla</t>
  </si>
  <si>
    <t>asm.</t>
  </si>
  <si>
    <t xml:space="preserve">Asmenų, kuriems suteikta specialioji ir psichologinė pagalba, dalis nuo bendro mokinių ir vaikų skaičiaus </t>
  </si>
  <si>
    <t>Įstaigos mokinių skaičius iš viso</t>
  </si>
  <si>
    <t xml:space="preserve">Mokinių, dalyvavusių regioniniuose, respublikiniuose, tarptautiniuose renginiuose, konkursuose, skaičius per metus </t>
  </si>
  <si>
    <t>Laimėtų prizinių vietų dalis regioniniuose, respublikiniuose, tarptautiniuose renginiuose, konkursuose nuo bendro dalyvavusiųjų skaičiaus neformaliojo ugdymo įstaigose</t>
  </si>
  <si>
    <t>Lopšelio-darželio "Nykštukas" veikla</t>
  </si>
  <si>
    <t>R-001-03-01-01</t>
  </si>
  <si>
    <t>R-001-03-01-03</t>
  </si>
  <si>
    <t>Vaikų, ugdomų pagal ikimokyklinio ugdymo programą, skaičius</t>
  </si>
  <si>
    <t>Vaikų, ugdomų pagal priešmokyklinio ugdymo programą, skaičius</t>
  </si>
  <si>
    <t>Lopšelio-darželio "Pasaka" veikla</t>
  </si>
  <si>
    <t>Lopšelio-darželio "Raudonkepuraitė" veikla</t>
  </si>
  <si>
    <t>Lopšelio-darželio "Rūtelė" veikla</t>
  </si>
  <si>
    <t>Lopšelio-darželio "Saulutė" veikla</t>
  </si>
  <si>
    <t>Lopšelio-darželio "Vyturėlis" veikla</t>
  </si>
  <si>
    <t>R-001-04-01-01</t>
  </si>
  <si>
    <t>Mokslo rėmimo programos įgyvendinimas</t>
  </si>
  <si>
    <t>Ugdymo kokybės užtikrinimas</t>
  </si>
  <si>
    <t>Valstybiniuose ir  mokykliniuose egzaminuose dalyvavusių mokytojų skaičius</t>
  </si>
  <si>
    <t>Neformaliojo  vaikų švietimo programos įgyvendinimas</t>
  </si>
  <si>
    <t xml:space="preserve">Neformaliajame vaikų švietime dalyvavusių vaikų skaičius </t>
  </si>
  <si>
    <t xml:space="preserve">Neformaliojo vaikų švietimo paslaugų teikėjų skaičius </t>
  </si>
  <si>
    <t>Vaikų vasaros poilsio organizavimo programos įgyvendinimas</t>
  </si>
  <si>
    <t>Finansuotų stovyklų skaičius</t>
  </si>
  <si>
    <t>Stovyklose dalyvavusių vaikų skaičius</t>
  </si>
  <si>
    <t>V-001-04-01-01-01</t>
  </si>
  <si>
    <t>R-001-05-01-01</t>
  </si>
  <si>
    <t>Jaunų žmonių, dalyvaujančių iš Savivaldybės biudžeto finansuojamų projektų veiklose, skaičius</t>
  </si>
  <si>
    <t>Jaunimo veiklos programos įgyvendinimas</t>
  </si>
  <si>
    <t>Paremtų programų skaičius</t>
  </si>
  <si>
    <t>Paremtų savanorių skaičius</t>
  </si>
  <si>
    <t>AJC lankytojų skaičius (per metus)</t>
  </si>
  <si>
    <t>Užtikrinti kokybišką neformaliojo suaugusiųjų švietimo veiklą</t>
  </si>
  <si>
    <t>Trečiojo amžiaus universiteto (TAU) veiklos organizavimas</t>
  </si>
  <si>
    <t>TAU klausytojų skaičius</t>
  </si>
  <si>
    <t>TAU renginių skaičius</t>
  </si>
  <si>
    <t>Sporto projektų rėmimas</t>
  </si>
  <si>
    <t xml:space="preserve">Sporto projektų, kuriems skirta parama, skaičius </t>
  </si>
  <si>
    <t xml:space="preserve">Įstaigoje organizuojamų treniruočių skaičius per metus </t>
  </si>
  <si>
    <t xml:space="preserve">Įstaigoje sportuojančių vaikų skaičius </t>
  </si>
  <si>
    <t>08</t>
  </si>
  <si>
    <t xml:space="preserve">Sužaistų rungtynių skaičius </t>
  </si>
  <si>
    <t>Futbolo komandos FK "Babrungas" rėmimas</t>
  </si>
  <si>
    <t>PP</t>
  </si>
  <si>
    <t>V-001-01-01-01-04 (VB)</t>
  </si>
  <si>
    <t>V-001-01-01-01-05 (VB)</t>
  </si>
  <si>
    <t>V-001-01-01-01-03 (VB)</t>
  </si>
  <si>
    <t>Individualią/ grupinę švietimo pagalbą gavusių asmenų skaičius</t>
  </si>
  <si>
    <t>Neformaliojo vaikų švietimo programose dalyvavusių vaikų dalis nuo bendro rajono vaikų skaičiaus</t>
  </si>
  <si>
    <t>Renginiuose dalyvavusių žmonių skaičius</t>
  </si>
  <si>
    <t>Mokinių, gyvenančių Centro bendrabutyje, dalis</t>
  </si>
  <si>
    <t>Įgyvendinta programa</t>
  </si>
  <si>
    <t>Dalyvavusių neformaliojo suaugusių švietimo veiklose asmenų dalis nuo vyresnių nei 65 metų asmenų skaičiaus</t>
  </si>
  <si>
    <t>V-001-01-01-02-03 (VB)</t>
  </si>
  <si>
    <t>V-001-01-01-02-04 (VB)</t>
  </si>
  <si>
    <t>V-001-01-01-02-05 (VB)</t>
  </si>
  <si>
    <t>V-001-01-01-03-03 (VB)</t>
  </si>
  <si>
    <t>V-001-01-01-03-04 (VB)</t>
  </si>
  <si>
    <t>V-001-01-01-03-05 (VB)</t>
  </si>
  <si>
    <t>V-001-01-01-04-02 (VB)</t>
  </si>
  <si>
    <t>V-001-01-01-04-03 (VB)</t>
  </si>
  <si>
    <t>V-001-01-01-04-04 (VB)</t>
  </si>
  <si>
    <t>koef.</t>
  </si>
  <si>
    <t>V-001-01-01-05-03 (VB)</t>
  </si>
  <si>
    <t>V-001-01-01-05-04 (VB)</t>
  </si>
  <si>
    <t>V-001-01-01-05-05 (VB)</t>
  </si>
  <si>
    <t>V-001-01-01-06-03 (VB)</t>
  </si>
  <si>
    <t>V-001-01-01-06-04 (VB)</t>
  </si>
  <si>
    <t>V-001-01-01-06-05 (VB)</t>
  </si>
  <si>
    <t>V-001-01-01-07-03 (VB)</t>
  </si>
  <si>
    <t>V-001-01-01-07-04 (VB)</t>
  </si>
  <si>
    <t>V-001-01-01-07-05 (VB)</t>
  </si>
  <si>
    <t>09</t>
  </si>
  <si>
    <t>10</t>
  </si>
  <si>
    <t>R-001-01-01-01</t>
  </si>
  <si>
    <t>R-001-01-01-04</t>
  </si>
  <si>
    <t>R-001-01-01-05</t>
  </si>
  <si>
    <t>V-001-01-01-09-03 (VB)</t>
  </si>
  <si>
    <t>V-001-01-01-09-04 (VB)</t>
  </si>
  <si>
    <t>V-001-01-01-09-05 (VB)</t>
  </si>
  <si>
    <t>Teikti kokybiškas ir prieinamas ikimokyklinio, priešmokyklinio, bendrojo, neformaliojo ugdymo paslaugas, atliepiant ateities ekonomikos poreikius</t>
  </si>
  <si>
    <t>Organizuoti  kokybišką ir prieinamą ugdymą ikimokyklinio ugdymo įstaigose, bendrojo ugdymo mokyklose bei neformaliojo vaikų švietimo įstaigose</t>
  </si>
  <si>
    <t>R-001-01-01-06</t>
  </si>
  <si>
    <t>R-001-01-01-07</t>
  </si>
  <si>
    <t>11</t>
  </si>
  <si>
    <t>12</t>
  </si>
  <si>
    <t>Vykdomų renginių skaičius</t>
  </si>
  <si>
    <t>13</t>
  </si>
  <si>
    <t xml:space="preserve">3–5 metų vaikų, ugdomų švietimo įstaigose, dalis </t>
  </si>
  <si>
    <t>Įstaigos mokinių skaičius</t>
  </si>
  <si>
    <t>Lietuvos čempionatų nugalėtojų/ prizininkų skaičius</t>
  </si>
  <si>
    <t>V-001-01-01-13-04</t>
  </si>
  <si>
    <t>V-001-01-01-13-05</t>
  </si>
  <si>
    <t>14</t>
  </si>
  <si>
    <t>15</t>
  </si>
  <si>
    <t>16</t>
  </si>
  <si>
    <t>17</t>
  </si>
  <si>
    <t>Asmenų, kuriems atliktas specialiųjų poreikių įvertinimas, skaičius</t>
  </si>
  <si>
    <t xml:space="preserve">100 mokinių tenkančių kompiuterių skaičius </t>
  </si>
  <si>
    <t>R-001-02-02-01</t>
  </si>
  <si>
    <t>R-001-02-02-02</t>
  </si>
  <si>
    <t>V-001-02-02-01-01</t>
  </si>
  <si>
    <t>V-001-02-01-01-01 (VB)</t>
  </si>
  <si>
    <t>V-001-02-01-01-02 (VB)</t>
  </si>
  <si>
    <t xml:space="preserve">V-001-02-01-01-03 </t>
  </si>
  <si>
    <t>R-001-02-01-01</t>
  </si>
  <si>
    <t>V-001-02-02-02-01</t>
  </si>
  <si>
    <t>V-001-02-02-02-02 (VB)</t>
  </si>
  <si>
    <t>V-001-02-02-03-01 (VB)</t>
  </si>
  <si>
    <t>V-001-02-02-03-02 (VB)</t>
  </si>
  <si>
    <t>V-001-02-02-04-01</t>
  </si>
  <si>
    <t>V-001-02-02-04-02</t>
  </si>
  <si>
    <t>1.3.1</t>
  </si>
  <si>
    <t>R-001-03-01-02</t>
  </si>
  <si>
    <t>Veikiančių jaunimo organizacijų, neformalių jaunimo grupių skaičius</t>
  </si>
  <si>
    <t>Suorganizuotų renginių, skirtų jaunimui, skaičius per metus</t>
  </si>
  <si>
    <t xml:space="preserve">Įgyvendinti neformaliojo suaugusiųjų švietimo programą </t>
  </si>
  <si>
    <t>V-001-04-01-01-02</t>
  </si>
  <si>
    <t>V-001-05-01-01-01</t>
  </si>
  <si>
    <t>V-001-05-01-02-01</t>
  </si>
  <si>
    <t>V-001-05-01-02-02</t>
  </si>
  <si>
    <t>V-001-05-01-03-01</t>
  </si>
  <si>
    <t>V-001-05-01-04-01</t>
  </si>
  <si>
    <t>Tris ir daugiau valstybinių brandos egzaminų išlaikiusių abiturientų dalis</t>
  </si>
  <si>
    <t>Pagrindinio ugdymo pasiekimų patikrinimo metu bent pagrindinį mokymosi pasiekimų lygį pasiekusių mokinių dalis (lietuvių kalba, matematika)</t>
  </si>
  <si>
    <t>Vienai sąlyginei mokytojo pareigybei tenkančių mokinių skaičius bendrojo ugdymo mokyklose</t>
  </si>
  <si>
    <t>Naujai komplektuojamų priešmokyklinio ugdymo grupių, kuriose yra ne daugiau kaip 20 mokinių, dalis</t>
  </si>
  <si>
    <t>Pedagogų, kėlusių kvalifikaciją, dalis</t>
  </si>
  <si>
    <t>Švietimo pagalbos darbuotojų (etatų), tenkančių 100 mokinių, skaičius</t>
  </si>
  <si>
    <t>Mokinių, lankančių neformaliojo švietimo programas (organizuojamas mokyklos), dalis</t>
  </si>
  <si>
    <t>Matematikos 8 klasės NMPP, šalies vidurkį pasiekusių mokinių dalis</t>
  </si>
  <si>
    <t>Trenerių, kėlusių kvalifikaciją, dalis</t>
  </si>
  <si>
    <t>Naujai komplektuojamų ugdymo grupių, kuriose yra ne daugiau kaip 20 mokinių, dalis</t>
  </si>
  <si>
    <t>Panaudotų Mokymo lėšų dalis</t>
  </si>
  <si>
    <t>Daugiau kaip 2 metų pedagoginio darbo stažą turinčių darbuotojų dalis</t>
  </si>
  <si>
    <t>ES</t>
  </si>
  <si>
    <t>AJC organizuojamų rajoninių renginių skaičius</t>
  </si>
  <si>
    <t>3.6</t>
  </si>
  <si>
    <t>4.0</t>
  </si>
  <si>
    <t>Švietimo pagalbą gaunančių mokinių dalis, nuo mokinių, kuriems tokia pagalba yra nustatyta, skaičiaus</t>
  </si>
  <si>
    <t xml:space="preserve">Mokytojų, dalyvavusių kvalifikacijos tobulinimo renginiuose (seminaruose, konferencijose, edukacinėse išvykose, metodinės veiklos ir gerosios patirties sklaidos renginiuose ir kt.,), skaičius   </t>
  </si>
  <si>
    <t>V-001-03-01-01-01</t>
  </si>
  <si>
    <t>V-001-03-01-01-02</t>
  </si>
  <si>
    <t>1.2.8.</t>
  </si>
  <si>
    <t>Europos Sąjungos paramos lėšos</t>
  </si>
  <si>
    <t>V-001-03-01-01-03</t>
  </si>
  <si>
    <t>Įdarbintų jaunuolių skaičius</t>
  </si>
  <si>
    <t>V-001-01-01-01-01 (VB)</t>
  </si>
  <si>
    <t>V-001-01-01-01-02 (VB)</t>
  </si>
  <si>
    <t>Nepedagoginių darbuotojų etatų dalis nuo bendro darbuotojų etatų skaičiaus</t>
  </si>
  <si>
    <t>V-001-01-01-04-01 (VB)</t>
  </si>
  <si>
    <t>V-001-01-01-04-05 (VB)</t>
  </si>
  <si>
    <t xml:space="preserve">V-001-01-01-11-03 </t>
  </si>
  <si>
    <t>V-001-01-01-11-04</t>
  </si>
  <si>
    <t>V-001-01-01-11-02</t>
  </si>
  <si>
    <t>V-001-01-01-11-05</t>
  </si>
  <si>
    <t>V-001-01-01-11-06</t>
  </si>
  <si>
    <t xml:space="preserve">V-001-01-01-12-02 </t>
  </si>
  <si>
    <t>V-001-01-01-12-03</t>
  </si>
  <si>
    <t>V-001-01-01-12-04</t>
  </si>
  <si>
    <t>V-001-01-01-12-05</t>
  </si>
  <si>
    <t>V-001-01-01-12-06</t>
  </si>
  <si>
    <t xml:space="preserve">V-001-01-01-13-01 </t>
  </si>
  <si>
    <t>V-001-01-01-13-02</t>
  </si>
  <si>
    <t>V-001-01-01-02-01 (VB)</t>
  </si>
  <si>
    <t>V-001-01-01-02-02 (VB)</t>
  </si>
  <si>
    <t>V-001-01-01-03-01 (VB)</t>
  </si>
  <si>
    <t>V-001-01-01-03-02 (VB)</t>
  </si>
  <si>
    <t>V-001-01-01-05-01 (VB)</t>
  </si>
  <si>
    <t>V-001-01-01-05-02 (VB)</t>
  </si>
  <si>
    <t>V-001-01-01-04-06</t>
  </si>
  <si>
    <t>V-001-01-01-03-06</t>
  </si>
  <si>
    <t>V-001-01-01-02-06</t>
  </si>
  <si>
    <t>V-001-01-01-01-06</t>
  </si>
  <si>
    <t>V-001-01-01-05-06</t>
  </si>
  <si>
    <t>V-001-01-01-06-01 (VB)</t>
  </si>
  <si>
    <t>V-001-01-01-06-02 (VB)</t>
  </si>
  <si>
    <t>Pavežamų mokinių dalis nuo bendro mokinių skaičiaus</t>
  </si>
  <si>
    <t>V-001-01-01-06-06</t>
  </si>
  <si>
    <t>V-001-01-01-07-01 (VB)</t>
  </si>
  <si>
    <t>V-001-01-01-07-02 (VB)</t>
  </si>
  <si>
    <t>V-001-01-01-09-01 (VB)</t>
  </si>
  <si>
    <t>V-001-01-01-09-02 (VB)</t>
  </si>
  <si>
    <t>V-001-01-01-09-06</t>
  </si>
  <si>
    <t>V-001-01-01-12-01 (SB/VB)</t>
  </si>
  <si>
    <t>V-001-01-01-13-03 (SB/VB)</t>
  </si>
  <si>
    <t>V-001-01-01-14-01 (SB/VB)</t>
  </si>
  <si>
    <t>V-001-01-01-14-02 (SB/VB)</t>
  </si>
  <si>
    <t>V-001-01-01-14-03 (SB/VB)</t>
  </si>
  <si>
    <t>V-001-01-01-14-04 (SB/VB)</t>
  </si>
  <si>
    <t>V-001-01-01-15-01 (SB/VB)</t>
  </si>
  <si>
    <t>V-001-01-01-15-02 (SB/VB)</t>
  </si>
  <si>
    <t>V-001-01-01-15-03 (SB/VB)</t>
  </si>
  <si>
    <t>V-001-01-01-15-04 (SB/VB)</t>
  </si>
  <si>
    <t>V-001-01-01-16-01 (SB/VB)</t>
  </si>
  <si>
    <t>V-001-01-01-16-02 (SB/VB)</t>
  </si>
  <si>
    <t>V-001-01-01-16-03 (SB/VB)</t>
  </si>
  <si>
    <t>V-001-01-01-16-04 (SB/VB)</t>
  </si>
  <si>
    <t>V-001-01-01-17-01 (SB/VB)</t>
  </si>
  <si>
    <t>V-001-01-01-17-02 (SB/VB)</t>
  </si>
  <si>
    <t>V-001-01-01-17-03 (SB/VB)</t>
  </si>
  <si>
    <t>V-001-01-01-17-04 (SB/VB)</t>
  </si>
  <si>
    <t>V-001-01-01-18-01 (SB/VB)</t>
  </si>
  <si>
    <t>V-001-01-01-18-02 (SB/VB)</t>
  </si>
  <si>
    <t>V-001-01-01-18-03 (SB/VB)</t>
  </si>
  <si>
    <t>V-001-01-01-18-04 (SB/VB)</t>
  </si>
  <si>
    <t>V-001-01-01-19-01 (SB/VB)</t>
  </si>
  <si>
    <t>V-001-01-01-19-02 (SB/VB)</t>
  </si>
  <si>
    <t>V-001-01-01-19-03 (SB/VB)</t>
  </si>
  <si>
    <t>V-001-01-01-19-04 (SB/VB)</t>
  </si>
  <si>
    <t>1.2.6.</t>
  </si>
  <si>
    <t>1.2.7.; 2.1.1.</t>
  </si>
  <si>
    <t>4.1.2.</t>
  </si>
  <si>
    <t>Uždavinio/ priemonės požymis *</t>
  </si>
  <si>
    <t>Stebėsenos rodiklio</t>
  </si>
  <si>
    <t>Siektinos stebėsenos rodiklių reikšmės</t>
  </si>
  <si>
    <t>V-001-01-01-11-01 (SB/VB)</t>
  </si>
  <si>
    <t>V-001-01-01-07-06</t>
  </si>
  <si>
    <t>Planuojami   2026-ųjų m. asignavimai ir kitos lėšos</t>
  </si>
  <si>
    <t>4.4</t>
  </si>
  <si>
    <t>"Babrungo" progimnazijos veikla</t>
  </si>
  <si>
    <t>"Ryto" pagrindinės mokyklos veikla</t>
  </si>
  <si>
    <t>Specialiojo ugdymo centro veikla</t>
  </si>
  <si>
    <t>Senamiesčio mokyklos veikla</t>
  </si>
  <si>
    <t>Liepijų mokyklos veikla</t>
  </si>
  <si>
    <t>Platelių meno mokyklos veikla</t>
  </si>
  <si>
    <t>M. Oginskio meno mokyklos veikla</t>
  </si>
  <si>
    <t>Sporto ir rekreacijos centro veikla</t>
  </si>
  <si>
    <t xml:space="preserve">Paslaugų ir švietimo pagalbos centro veikla  </t>
  </si>
  <si>
    <t>Atviro jaunimo centro veiklos organizavimas</t>
  </si>
  <si>
    <t>"Plungės futbolas" programos įgyvendinimas</t>
  </si>
  <si>
    <t xml:space="preserve">SB </t>
  </si>
  <si>
    <t>Skolintos lėšos</t>
  </si>
  <si>
    <t>Savivaldybės aplinkos apsaugos rėmimo specialiosios programos lėšos</t>
  </si>
  <si>
    <t>SB (AA)</t>
  </si>
  <si>
    <t>Kodas</t>
  </si>
  <si>
    <t>tikslo</t>
  </si>
  <si>
    <t>uždavinio</t>
  </si>
  <si>
    <t>priemonės</t>
  </si>
  <si>
    <t>Žemaitijos kadetų gimnazijos veikla</t>
  </si>
  <si>
    <t>Iš viso uždaviniui:</t>
  </si>
  <si>
    <t>Iš viso tikslui:</t>
  </si>
  <si>
    <t>Iš viso programai:</t>
  </si>
  <si>
    <t>1.2.2-1; 1.2.6-1; 1.2.7-1; 1.2.7-2.</t>
  </si>
  <si>
    <t>1.2.6-1</t>
  </si>
  <si>
    <t>1.2.7-1; 1.2.7-2; 2.1.1-1; 2.1.1-2.</t>
  </si>
  <si>
    <t>1.3.1-1; 1.3.1-2; 1.3.1-3.</t>
  </si>
  <si>
    <t>1.2.8-1; 1.2.8-2.</t>
  </si>
  <si>
    <t>4.1.2-1; 4.1.2-2.</t>
  </si>
  <si>
    <t>(tūkst. Eur)</t>
  </si>
  <si>
    <t>1 priedas</t>
  </si>
  <si>
    <t>Asignavimų skirtumas (2024 m.- 2025 m.)</t>
  </si>
  <si>
    <t>2025-ųjų m. asignavimai ir kitos lėšos</t>
  </si>
  <si>
    <t>Paskolos lėšos</t>
  </si>
  <si>
    <t>Valstybės biudžeto dotacijos lėšos</t>
  </si>
  <si>
    <t>-</t>
  </si>
  <si>
    <t>1.4.1-1; 1.4.1-2.</t>
  </si>
  <si>
    <t>Patobulintų veikiančių informacinių sistemų, kurios mažina administracinę naštą skaičius</t>
  </si>
  <si>
    <t>P-002-02-01-02-01</t>
  </si>
  <si>
    <t>1.4.1.</t>
  </si>
  <si>
    <t>Diegti naujas ir tobulinti veikiančias informacines sistemas</t>
  </si>
  <si>
    <t>NF</t>
  </si>
  <si>
    <t>Sudarytų bendradarbiavimo tarp institucijų dėl teikiamų elektroninių paslaugų sutarčių ir/arba gautų prieigų skaičius</t>
  </si>
  <si>
    <t>P-002-02-01-01-01</t>
  </si>
  <si>
    <t xml:space="preserve">Didinti bendradarbiavimą su institucijomis plečiant teikiamas elektronines paslaugas </t>
  </si>
  <si>
    <t>Savivaldybės administracinės naštos mažinimo priemonių vykdymo plano įgyvendinimo lygis</t>
  </si>
  <si>
    <t>R-002-02-01-01</t>
  </si>
  <si>
    <t>Administracinės naštos mažinimo užtikrinimas</t>
  </si>
  <si>
    <t>Užtikrinti darnų administracinės naštos mažinimo procesą</t>
  </si>
  <si>
    <t>Paremtų religinių bendruomenių skaičius</t>
  </si>
  <si>
    <t>V-002-01-03-03-01</t>
  </si>
  <si>
    <t>Plungės dekanato aptarnaujamų parapijų rėmimas</t>
  </si>
  <si>
    <t>2.1.7-1; 2.1.7-2.</t>
  </si>
  <si>
    <t>Bendruomenių, dalyvavusių pažangos veikloje, skaičius</t>
  </si>
  <si>
    <t>P-002-01-03-02-01 (SB/ VB)</t>
  </si>
  <si>
    <t>2.1.7.</t>
  </si>
  <si>
    <t>Paremtų vietos inciatyvų skaičius</t>
  </si>
  <si>
    <t>V-002-01-03-01-01</t>
  </si>
  <si>
    <t>Bendruomeninių organizacijų veiklos rėmimas</t>
  </si>
  <si>
    <t>Bendruomenių skaičius, gavusių paramą vietos iniciatyvų įgyvendinimui</t>
  </si>
  <si>
    <t>R-002-01-03-01</t>
  </si>
  <si>
    <t>Bendradarbystės centro „Spiečius“ narių skaičius</t>
  </si>
  <si>
    <t>V-002-01-02-02-01</t>
  </si>
  <si>
    <t>Bendradarbystės centro "Spiečius" veiklos organizavimas</t>
  </si>
  <si>
    <t>SVV subjektų, gavusių paramą, skaičius</t>
  </si>
  <si>
    <t>V-002-01-02-01-01</t>
  </si>
  <si>
    <t>Smulkiojo ir vidutinio verslo subjektų rėmimas</t>
  </si>
  <si>
    <t>Veikiančių SVV skaičius, tenkantis 1000 gyventojų</t>
  </si>
  <si>
    <t>R-002-01-02-01</t>
  </si>
  <si>
    <t>Sudaryti palankias sąlygas verslo plėtrai</t>
  </si>
  <si>
    <t>Investicijų projektų, gavusių valstybės biudžeto dotaciją, skaičius (naujo finansavimo periodo)</t>
  </si>
  <si>
    <t>Įgyvendinamų projektų skaičius (naujo finansavimo periodo)</t>
  </si>
  <si>
    <t>Investicijų ir kitų projektų vykdymas (naujo finansavimo periodo)</t>
  </si>
  <si>
    <t>Įgyvendinamų projektų, numatytų 2022-2030 m. Telšių regiono plėtros plane, skaičius</t>
  </si>
  <si>
    <t>P-002-01-01-04-01</t>
  </si>
  <si>
    <t>Investicijų  projektų, numatytų 2022-2030 m. Telšių regiono plėtros plane, vykdymas</t>
  </si>
  <si>
    <t>RP</t>
  </si>
  <si>
    <t>SB(VB)</t>
  </si>
  <si>
    <t>TI</t>
  </si>
  <si>
    <t>V-002-01-01-02-01</t>
  </si>
  <si>
    <t>Parengtos projektinės dokumentacijos skaičius</t>
  </si>
  <si>
    <t>V-002-01-01-01-01</t>
  </si>
  <si>
    <t>Projektinės veiklos organizavimas</t>
  </si>
  <si>
    <t>1.1.-1; 1.1.-2; 1.1-3; 1.2.4-1; 1.2.4-2; 1.2.5-1; 1.2.5-2; 1.5.1-1; 1.5.1-2; 1.5.2-1; 1.5.3-1; 1.5.3-2; 1.7.3-1; 2.1.4-1; 3.1.1-1; 3.3.2-1; 3.4.1-1; 4.1.1-1; 4.1.2-1; 4.1.2-2; 4.1.3-1; 4.2.5-1; 4.4.3-1; 4.4.5-1; 4.4.5-2.</t>
  </si>
  <si>
    <t>Lėšų, pritrauktų iš išorinių finansavimo šaltinių, įgyvendinant investicinius ir kitus projektus, dalis</t>
  </si>
  <si>
    <t>R-002-01-01-01</t>
  </si>
  <si>
    <t>1.1.1; 1.1.3; 1.1.5; 1.2.4; 1.2.6; 1.5.1; 1.5.2; 1.5.4; 1.7.3; 1.8.1; 1.8.2; 1.8.3; 1.8.4; 2.1.4; 2.4.4; 3.1.1; 3.3.3;  4.1.1; 4.1.2; 4.1.3; 4.1.4; 4.3.5; 4.4.3; 4.4.5</t>
  </si>
  <si>
    <t>Kurti palankią  aplinką investicijoms ir gyvenimo gerovei</t>
  </si>
  <si>
    <t xml:space="preserve">P </t>
  </si>
  <si>
    <t>PATVIRTINTA</t>
  </si>
  <si>
    <t>2 priedas</t>
  </si>
  <si>
    <t>Planuojami  2027-ųjų m. asignavimai ir kitos lėšos</t>
  </si>
  <si>
    <t xml:space="preserve">Savivaldybės aplinkos apsaugos rėmimo specialiosios programos lėšos </t>
  </si>
  <si>
    <t xml:space="preserve">Pajamos už prekes ir paslaugas </t>
  </si>
  <si>
    <t>V-003-01-01-04-01 (VB)</t>
  </si>
  <si>
    <t>Savivaldybei priskirtiems geodezijos ir kartografijos darbams (Savivaldybės erdvinių duomenų rinkiniams tvarkyti) organizuoti ir vykdyti</t>
  </si>
  <si>
    <t xml:space="preserve">Parengtų Savivaldybės infrastruktūros pagerinimo/ plėtros techninių projektų skaičius </t>
  </si>
  <si>
    <t>P-003-01-01-03-02</t>
  </si>
  <si>
    <t>Naujų teritorijų planavimo dokumentų  skaičius</t>
  </si>
  <si>
    <t>P-003-01-01-03-01</t>
  </si>
  <si>
    <t>1.2.5; 1.6.3; 1.10.1; 1.10.2; 3.3.2; 4.1.3</t>
  </si>
  <si>
    <t>Savivaldybės infrastruktūros objektų pagerinimo ir plėtros projektinės dokumentacijos rengimas</t>
  </si>
  <si>
    <t xml:space="preserve">Parengtų techninių projektų skaičius </t>
  </si>
  <si>
    <t>V-003-01-01-02-02</t>
  </si>
  <si>
    <t>Pakoreguotų, pakeistų teritorijų planavimo dokumentų skaičius</t>
  </si>
  <si>
    <t>V-003-01-01-02-01</t>
  </si>
  <si>
    <t xml:space="preserve">Architektūros ir teritorijų planavimo proceso organizavimas </t>
  </si>
  <si>
    <t>Atliktų topografinių nuotraukų skaičius</t>
  </si>
  <si>
    <t>V-003-01-01-01-03 (SB/VB)</t>
  </si>
  <si>
    <t>Parengtų žemės sklypų formavimo projektų skaičius</t>
  </si>
  <si>
    <t>V-003-01-01-01-02 (SB/VB)</t>
  </si>
  <si>
    <t>V-003-01-01-01-01 (SB/VB)</t>
  </si>
  <si>
    <t>Žemėtvarkos proceso (darbų) organizavimas</t>
  </si>
  <si>
    <t>Parengtų techninių projektų ir atliktų ekspertizių  skaičiaus pokytis (palyginti su praėjusiais m.)</t>
  </si>
  <si>
    <t>R-003-01-01-03</t>
  </si>
  <si>
    <t>Atliktų kadastrinių matavimų ir sudarytų panaudos sutarčių skaičiaus pokytis (palyginti su praėjusiais m.)</t>
  </si>
  <si>
    <t>R-003-01-01-02</t>
  </si>
  <si>
    <t>Patikrintų kartografijos planų portale TOPD skaičiaus pokytis (palyginti su praėjusiais m.)</t>
  </si>
  <si>
    <t>R-003-01-01-01</t>
  </si>
  <si>
    <t>Sudaryti sąlygas subalansuotai rajono teritorijų plėtrai</t>
  </si>
  <si>
    <t>3 priedas</t>
  </si>
  <si>
    <t>2024-ųjų m. asignavimai ir kitos lėšos (2024-12-31 datai)</t>
  </si>
  <si>
    <t xml:space="preserve">1.2.5-1; 1.2.5-2; 1.6.3-1; 1.10.1-1; 3.3.2-1; 4.1.3-1.  </t>
  </si>
  <si>
    <t>Suteiktų savivaldybės būstų skaičius</t>
  </si>
  <si>
    <t>P-004-06-01-01-02</t>
  </si>
  <si>
    <t>Specialistų, gavusių kompensacijas, skaičius</t>
  </si>
  <si>
    <t>P-004-06-01-01-01</t>
  </si>
  <si>
    <t>1.1.1.; 1.2.1.; 1.9.3.</t>
  </si>
  <si>
    <t>Savivaldybės įstaigoms reikalingų specialybių darbuotojų pritraukimo finansinis skatinimas</t>
  </si>
  <si>
    <t>Pritrauktų specialistų skaičius</t>
  </si>
  <si>
    <t>R-004-06-01-01</t>
  </si>
  <si>
    <t>Teikti finansavimą Savivaldybės įstaigoms, pritraukusioms reikalingus specialistus</t>
  </si>
  <si>
    <t>Bendrosios prevencijos priemonių, skirtų visuomenės saugumui didinti, skaičius</t>
  </si>
  <si>
    <t>V-004-05-01-01-04</t>
  </si>
  <si>
    <t>Surengtų priemonių pagal situacijų prevencijos planą, skirtų visuomenės saugumui ir viešajai tvarkai užtikrinti skaičius</t>
  </si>
  <si>
    <t>V-004-05-01-01-03</t>
  </si>
  <si>
    <t>Surengtų priemonių eismo saugumo užtikrinimui skaičius</t>
  </si>
  <si>
    <t>V-004-05-01-01-02</t>
  </si>
  <si>
    <t>Atliktų viešosios tvarkos bei visuomenės saugumo užtikrinimo (reidų, renginių) skaičius</t>
  </si>
  <si>
    <t>V-004-05-01-01-01</t>
  </si>
  <si>
    <t>Policijos komisariato programos įgyvendinimas</t>
  </si>
  <si>
    <t>Įgyvendintų neformaliojo švietimo  programų, susijusių su visuomenės saugumu, skaičius</t>
  </si>
  <si>
    <t>R-004-05-01-01</t>
  </si>
  <si>
    <t>Vykdyti nusikalstamų veikų bei teisės pažeidimų prevenciją ir tyrimus</t>
  </si>
  <si>
    <t>Užtikrinti viešosios tvarkos ir visuomenės saugumą bei eismo saugumo kontrolę ir skatinimą</t>
  </si>
  <si>
    <t>V-004-04-01-01-01</t>
  </si>
  <si>
    <t>"Plungės būstas" programos įgyvendinimas</t>
  </si>
  <si>
    <t>Viešojo tualeto paslaugų kompensavimas</t>
  </si>
  <si>
    <t>R-004-04-01-01</t>
  </si>
  <si>
    <t>1.5.2.</t>
  </si>
  <si>
    <t xml:space="preserve">Padidintas socialinio būsto fondas </t>
  </si>
  <si>
    <t>P-004-03-01-01-01(SB/VB)</t>
  </si>
  <si>
    <t>1.5.3</t>
  </si>
  <si>
    <t>Savivaldybės ir socialinio būsto fondo plėtra</t>
  </si>
  <si>
    <t>Asmenų (šeimų), gavusių socialinį būstą, skaičius</t>
  </si>
  <si>
    <t>R-004-03-01-01</t>
  </si>
  <si>
    <t>Siekti pažeidžiamų ir socialinėje atskirtyje esančių gyventojų gerovės ir integracijos</t>
  </si>
  <si>
    <t>Priklausomybių mažinimo programos renginių skaičius</t>
  </si>
  <si>
    <t>P-004-02-02-02-02</t>
  </si>
  <si>
    <t>Priklausomybių mažinimo programos dalyvių skaičius</t>
  </si>
  <si>
    <t>P-004-02-02-02-01</t>
  </si>
  <si>
    <t>Priklausomybių mažinimo programos įgyvendinimas</t>
  </si>
  <si>
    <t>Suteiktų JPSPP gavėjų skaičius</t>
  </si>
  <si>
    <t>V-004-02-02-01-03</t>
  </si>
  <si>
    <t>Privalomųjų mokymų skaičius</t>
  </si>
  <si>
    <t>V-004-02-02-01-02</t>
  </si>
  <si>
    <t>VSB darbuotojų ir ikimokyklinio ugdymo įstaigų visuomenės sveikatos specialistų skaičius</t>
  </si>
  <si>
    <t>V-004-02-02-01-01</t>
  </si>
  <si>
    <t>Visuomenės sveikatos biuro veikla</t>
  </si>
  <si>
    <t>Pravestų teorinių ir praktinių užsiėmimų skaičiaus pokytis (palyginti su praėjusiais metais)</t>
  </si>
  <si>
    <t>R-004-02-02-01</t>
  </si>
  <si>
    <t>1.1.2; 1.1.3</t>
  </si>
  <si>
    <t>Siekti, kad BĮ Plungės rajono savivaldybės visuomenės sveikatos biuras taptų modernia šiuolaikine įstaiga, kurioje dirbs kvalifikuoti, išsilavinę specialistai</t>
  </si>
  <si>
    <t>Asmenų, kuriems suteiktos saugios nakvynės paslaugos, skaičius</t>
  </si>
  <si>
    <t>V-004-02-01-02-01</t>
  </si>
  <si>
    <t>P-004-02-01-01-03</t>
  </si>
  <si>
    <t>Iš kitų miestų atvykstančių gydytojų skaičius</t>
  </si>
  <si>
    <t>P-004-02-01-01-02</t>
  </si>
  <si>
    <t>1.1.1.; 1.1.5.</t>
  </si>
  <si>
    <t>Ligoninės programos įgyvendinimas</t>
  </si>
  <si>
    <t>Pritrauktų sveikatos priežiūros specialistų skaičius per metus</t>
  </si>
  <si>
    <t>R-004-02-01-02</t>
  </si>
  <si>
    <t>Teikiamų ambulatorinių paslaugų skaičiaus pokytis (skaičiuojama už tuos metus, kai gydytojai pradeda dirbti ir lyginama su praėjusiais metais)</t>
  </si>
  <si>
    <t>R-004-02-01-01</t>
  </si>
  <si>
    <t>1.1.1; 1.1.5.</t>
  </si>
  <si>
    <t>Viešuoju transportu pervežtų keleivių skaičius</t>
  </si>
  <si>
    <t>V-004-01-04-02-01</t>
  </si>
  <si>
    <t>Keleivių ir moksleivių pavėžėjimo užtikrinimas</t>
  </si>
  <si>
    <t>Įsigytų priemonių skaičius</t>
  </si>
  <si>
    <t>P-004-01-04-01-01</t>
  </si>
  <si>
    <t>1.6.2.</t>
  </si>
  <si>
    <t>„Plungės autobusų parkas“ veiklos gerinimas</t>
  </si>
  <si>
    <t>Vidutiniškai vienam gyventojui tenkančių kelionių miesto ir priemiesčio maršrutais skaičius</t>
  </si>
  <si>
    <t>R-004-01-04-01</t>
  </si>
  <si>
    <t>Gerinti pavėžėjimo paslaugų kokybę ir prieinamumą</t>
  </si>
  <si>
    <t>Paslaugas gavusių ilgalaikių bedarbių skaičius</t>
  </si>
  <si>
    <t>V-004-01-03-01-02 (VB)</t>
  </si>
  <si>
    <t>Įdarbintų asmenų skaičius</t>
  </si>
  <si>
    <t>V-004-01-03-01-01 (VB)</t>
  </si>
  <si>
    <t>Savivaldybės patvirtintai užimtumo didinimo programai įgyvendinti</t>
  </si>
  <si>
    <t>R-004-01-03-01</t>
  </si>
  <si>
    <t>2.2.4.</t>
  </si>
  <si>
    <t>Prisidėti prie užimtumo didinimo rajone</t>
  </si>
  <si>
    <t xml:space="preserve">Socialinės priežiūros paslaugų (laikino apnakvindinimo ir apgyvendinimo) gavėjų skaičius </t>
  </si>
  <si>
    <t>V-004-01-02-03-01</t>
  </si>
  <si>
    <t xml:space="preserve">Krizių centro veikla </t>
  </si>
  <si>
    <t xml:space="preserve">V-004-01-02-02-01 </t>
  </si>
  <si>
    <t>V-004-01-02-01-05 (VB)</t>
  </si>
  <si>
    <t>V-004-01-02-01-04</t>
  </si>
  <si>
    <t>V-004-01-02-01-03</t>
  </si>
  <si>
    <t>V-004-01-02-01-02</t>
  </si>
  <si>
    <t>Globojamų vaikų skaičius</t>
  </si>
  <si>
    <t>Socialinių paslaugų centro veikla</t>
  </si>
  <si>
    <t>Gyventojų, kuriems patenkintas socialinės paslaugų poreikis Plungės socialinių paslaugų centre, dalis</t>
  </si>
  <si>
    <t>R-004-01-02-03</t>
  </si>
  <si>
    <t>Vaikų, kurie gauna dienos socialinės globos paslaugas, dalis nuo poreikio</t>
  </si>
  <si>
    <t>R-004-01-02-02</t>
  </si>
  <si>
    <t>Gyventojų, kuriems patenkintas socialinės paslaugų poreikis Plungės krizių centre, dalis</t>
  </si>
  <si>
    <t>R-004-01-02-01</t>
  </si>
  <si>
    <t>Asmenų su negalia paslaugos gavėjų skaičius</t>
  </si>
  <si>
    <t>V-004-01-01-13-01 (SB/VB)</t>
  </si>
  <si>
    <t>Socialinių pašalpų gavėjų skaičius</t>
  </si>
  <si>
    <t>V-004-01-01-12-02 (SB/ VB)</t>
  </si>
  <si>
    <t>Kompensacijų gavėjų skaičius</t>
  </si>
  <si>
    <t>V-004-01-01-12-01</t>
  </si>
  <si>
    <t>Socialinėms pašalpoms  ir kompensacijoms skaičiuoti ir mokėti</t>
  </si>
  <si>
    <t>Socialinių dirbtuvių lankytojų skaičius</t>
  </si>
  <si>
    <t>V-004-01-01-11-03</t>
  </si>
  <si>
    <t>Grupinio gyvenimo namų gyventojų skaičius</t>
  </si>
  <si>
    <t>V-004-01-01-11-02</t>
  </si>
  <si>
    <t>Bendruomenės centro paslaugų gavėjų skaičius</t>
  </si>
  <si>
    <t>V-004-01-01-11-01</t>
  </si>
  <si>
    <t>Vaikų dienos centrus lankančių vaikų skaičius</t>
  </si>
  <si>
    <t>V-001-01-01-10-01 (SB/VB)</t>
  </si>
  <si>
    <t>V-004-01-01-09-04</t>
  </si>
  <si>
    <t>Vietinės rinkliavos išlaidų kompensacijų gavėjų skaičius</t>
  </si>
  <si>
    <t>V-004-01-01-09-03</t>
  </si>
  <si>
    <t xml:space="preserve">Vienkartinių pašalpų gavėjų skaičius </t>
  </si>
  <si>
    <t>V-004-01-01-09-02</t>
  </si>
  <si>
    <t>Pagalbos pinigais gavėjų skaičius</t>
  </si>
  <si>
    <t>V-004-01-01-09-01</t>
  </si>
  <si>
    <t>Savivaldybės teikiamos paramos organizavimas</t>
  </si>
  <si>
    <t xml:space="preserve">Pagalbą gavusių asmenų skaičius </t>
  </si>
  <si>
    <t>V-004-01-01-08-01 (VB)</t>
  </si>
  <si>
    <t>Socialinės paramos organizavimas užsieniečių integracijai</t>
  </si>
  <si>
    <t>V-004-01-01-07-01 (VB)</t>
  </si>
  <si>
    <t>Neveiksnių asmenų būklės peržiūrėjimui užtikrinti</t>
  </si>
  <si>
    <t>Būsto nuomos mokesčio dalies paramos gavėjų skaičius</t>
  </si>
  <si>
    <t>V-004-01-01-06-01 (VB)</t>
  </si>
  <si>
    <t>Būsto nuomos mokesčio daliai kompensuoti</t>
  </si>
  <si>
    <t>VSB darbuotojų kvalifikacijos kėlimo skaičius</t>
  </si>
  <si>
    <t>V-004-01-01-05-06 (VB)</t>
  </si>
  <si>
    <t>Sveikos gyvensenos viešinimo informacijos pateikčių skaičius</t>
  </si>
  <si>
    <t>V-004-01-01-05-05 (VB)</t>
  </si>
  <si>
    <t>val.</t>
  </si>
  <si>
    <t>V-004-01-01-05-04 (VB)</t>
  </si>
  <si>
    <t>V-004-01-01-05-03 (VB)</t>
  </si>
  <si>
    <t>Suorganizuotų renginių skaičius</t>
  </si>
  <si>
    <t>V-004-01-01-05-02 (VB)</t>
  </si>
  <si>
    <t>Visuomenės sveikatos specialistų skaičius</t>
  </si>
  <si>
    <t>V-004-01-01-05-01 (VB)</t>
  </si>
  <si>
    <t>Visuomenės sveikatos priežiūros funkcijoms vykdyti</t>
  </si>
  <si>
    <t>Paremtų NVO vykdomų programų skaičius</t>
  </si>
  <si>
    <t>Pritaikytų asmenims su negalia būstų skaičius</t>
  </si>
  <si>
    <t>NVO paslaugas gavusių asmenų skaičius</t>
  </si>
  <si>
    <t>V-004-01-01-04-01 (SB/VB)</t>
  </si>
  <si>
    <t>Apsaugoto būsto paslaugų gavėjų skaičius</t>
  </si>
  <si>
    <t>V-004-01-01-03-02</t>
  </si>
  <si>
    <t>V-004-01-01-02-02 (VB)</t>
  </si>
  <si>
    <t>Mokinio reikmenų gavėjų skaičius</t>
  </si>
  <si>
    <t>V-004-01-01-02-01 (VB)</t>
  </si>
  <si>
    <t>Socialinei paramai mokiniams</t>
  </si>
  <si>
    <t xml:space="preserve">Laidojimo pašalpų gavėjų skaičius </t>
  </si>
  <si>
    <t>V-004-01-01-01-01 (VB)</t>
  </si>
  <si>
    <t>Socialinėms išmokoms ir kompensacijoms skaičiuoti ir mokėti</t>
  </si>
  <si>
    <t>Visuomenės sveikatos biuro teikiamų paslaugų gavėjų skaičiaus pokytis (palyginti su praėjusiais metais)</t>
  </si>
  <si>
    <t>R-004-01-01-02</t>
  </si>
  <si>
    <t>Gyventojų, kuriems suteiktos bendrųjų ir socialinės priežiūros paslaugų, skaičiaus pokytis (lyginant su praėjusiais metais)</t>
  </si>
  <si>
    <t>R-004-01-01-01</t>
  </si>
  <si>
    <t>1.1.2; 1.1.4; 1.5.2</t>
  </si>
  <si>
    <t>Mažinti socialinę atskirtį vykdant valstybės ir Savivaldybės socialinės politikos priemones</t>
  </si>
  <si>
    <t>4 priedas</t>
  </si>
  <si>
    <t>V-004-01-01-14-01 (SB/VB)</t>
  </si>
  <si>
    <t>Laikino atokvėpio paslaugų gavėjų skaičius</t>
  </si>
  <si>
    <t>1.1.2-1; 1.1.4-1; 1.1.4-2; 1.5.2-1.</t>
  </si>
  <si>
    <t>1.5.2-1</t>
  </si>
  <si>
    <t>2.2.4-1</t>
  </si>
  <si>
    <t>1.6.2-1</t>
  </si>
  <si>
    <t xml:space="preserve">
1.1.1-1; 1.1.5-1.</t>
  </si>
  <si>
    <t>1.1.1-1; 1.1.5-1.</t>
  </si>
  <si>
    <t>1.1.2-1; 1.1.3-1; 1.1.3-2;  1.1.3-3.</t>
  </si>
  <si>
    <t>1.5.3-1; 1.5.3-2.</t>
  </si>
  <si>
    <t>1.1.1-1; 1.2.1-1; 1.9.3-1.</t>
  </si>
  <si>
    <t>t</t>
  </si>
  <si>
    <t>Surinktas ir sutvarkytas mišrių komunalinių atliekų kiekis</t>
  </si>
  <si>
    <t>V-005-01-02-01-01</t>
  </si>
  <si>
    <t>Komunalinių atliekų surinkimui ir tvarkymui</t>
  </si>
  <si>
    <t>Sutvarkytų atliekų dalis</t>
  </si>
  <si>
    <t>R-005-01-02-01</t>
  </si>
  <si>
    <t>1.8.</t>
  </si>
  <si>
    <t xml:space="preserve">Organizuoti komunalinių atliekų, antrinių žaliavų, pavojingų atliekų, žaliųjų ir stambiagabaričių atliekų surinkimą ir tvarkymą </t>
  </si>
  <si>
    <t>3.3.1; 3.3.2; 3.3.3</t>
  </si>
  <si>
    <t>Įveistų naujų želdinių skaičius</t>
  </si>
  <si>
    <t>Želdinių ekspertizės ir arboristinio įvertinimo parengtų ataskaitų skaičius</t>
  </si>
  <si>
    <t>V-005-01-01-01-08</t>
  </si>
  <si>
    <t>Maudymosi vietų skaičius, kuriuose vykdomi vandens ir smėlio kokybės tyrimai</t>
  </si>
  <si>
    <t>V-005-01-01-01-07</t>
  </si>
  <si>
    <t>V-005-01-01-01-06</t>
  </si>
  <si>
    <t>t.</t>
  </si>
  <si>
    <t>Surinktas ir sutvarkytas atliekų, kurių turėtojo nustatyti neįmanoma arba kuris neegzistuoja, kiekis</t>
  </si>
  <si>
    <t>V-005-01-01-01-05</t>
  </si>
  <si>
    <t>ha</t>
  </si>
  <si>
    <t>Išnaikintų invazinės rūšies augalų - Sosnovskio barščių  kiekis (plotas)</t>
  </si>
  <si>
    <t>V-005-01-01-01-04</t>
  </si>
  <si>
    <t>Ūkios subjektų skaičius, kuriems skirta kompensacija individualių buitinių nuotekų valymo įrenginių įsigijimui ir įrengimui</t>
  </si>
  <si>
    <t>V-005-01-01-01-03</t>
  </si>
  <si>
    <t>Įvykdytų projektų skaičius, kurių  metu įdiegtos prevencinės priemonės apsaugai nuo medžiojamųjų gyvūnų daromos žalos</t>
  </si>
  <si>
    <t>V-005-01-01-01-02</t>
  </si>
  <si>
    <t>Įvykdytų visuomenės sveikatos rėmimo specialiosios programos projektų skaičius</t>
  </si>
  <si>
    <t>V-005-01-01-01-01</t>
  </si>
  <si>
    <t>Specialiosios aplinkos apsaugos rėmimo programos vykdymas</t>
  </si>
  <si>
    <t xml:space="preserve">Patenkintų paraiškų, pateiktų specialiosios aplinkos apsaugos rėmimo programos priemonėms įgyvendinti, dalis nuo pateiktų skaičiaus </t>
  </si>
  <si>
    <t>R-005-01-01-01</t>
  </si>
  <si>
    <t>Siekti sveikos ir švarios gyvenamosios aplinkos bei racionalaus gamtos išteklių naudojimo</t>
  </si>
  <si>
    <r>
      <t xml:space="preserve">2025-2027 METŲ </t>
    </r>
    <r>
      <rPr>
        <b/>
        <u/>
        <sz val="10"/>
        <color rgb="FF000000"/>
        <rFont val="Times New Roman"/>
        <family val="1"/>
        <charset val="186"/>
      </rPr>
      <t xml:space="preserve">005 APLINKOS APSAUGOS </t>
    </r>
    <r>
      <rPr>
        <b/>
        <sz val="10"/>
        <color indexed="8"/>
        <rFont val="Times New Roman"/>
        <family val="1"/>
        <charset val="186"/>
      </rPr>
      <t>PROGRAMOS UŽDAVINIAI, PRIEMONĖS, ASIGNAVIMAI IR KITOS LĖŠOS, STEBĖSENOS RODIKLIAI</t>
    </r>
  </si>
  <si>
    <t>3.3.1-1; 3.3.2-1; 3.3.3-1.</t>
  </si>
  <si>
    <t>1.8-1; 1.8-2.</t>
  </si>
  <si>
    <t>Iš viso tikslui</t>
  </si>
  <si>
    <t>Sutvarkytų kultūrinę vertę turinčių objektų skaičius</t>
  </si>
  <si>
    <t xml:space="preserve"> Kultūros paveldo objektų, kuriuose atlikti remonto ar tvarkybos darbai, skaičius</t>
  </si>
  <si>
    <t>V-006-03-01-05-01</t>
  </si>
  <si>
    <t>4.3.2; 4.3.4</t>
  </si>
  <si>
    <t xml:space="preserve">Kultūros vertybių apsaugos organizavimas  </t>
  </si>
  <si>
    <t>Finansuotų projektų skaičius</t>
  </si>
  <si>
    <t>P-006-03-01-04-01</t>
  </si>
  <si>
    <t xml:space="preserve">Lietuvos kultūros tarybos ir kitų kultūrinių projektų rėmimas                                      </t>
  </si>
  <si>
    <t>V-006-03-01-03-01</t>
  </si>
  <si>
    <t>Miesto šventės ir kitų reprezentacinių renginių organizavimas</t>
  </si>
  <si>
    <t>Meno mėgėjų kolektyvų, kuriems skirta parama rūbų ar instrumentų įsigijimui, skaičius</t>
  </si>
  <si>
    <t>V-006-03-01-02-01</t>
  </si>
  <si>
    <t>Pasiruošimas dainų šventei</t>
  </si>
  <si>
    <t xml:space="preserve">Finansuotų paraiškų skaičius </t>
  </si>
  <si>
    <t>P-006-03-01-01-01</t>
  </si>
  <si>
    <t>4.3.2.; 4.3.4</t>
  </si>
  <si>
    <t>Kultūriniuose renginiuose dalyvavusių dalyvių ir lankytojų skaičiaus padidėjimas (palyginti su praėjusiais metais)</t>
  </si>
  <si>
    <t>R-006-03-01-01</t>
  </si>
  <si>
    <t>Sudaryti sąlygas kultūros ir meno sričių programų finansavimui</t>
  </si>
  <si>
    <t>Skatinti meno plėtrą bei meninę saviraišką</t>
  </si>
  <si>
    <t xml:space="preserve"> Prižiūrėto Mykolo Oginskio rūmų parko plotas</t>
  </si>
  <si>
    <t>V-006-02-01-04-01</t>
  </si>
  <si>
    <t>Parko priežiūra</t>
  </si>
  <si>
    <t xml:space="preserve">Tarptautinių kultūrinių projektų / programų, vykdomų įstaigoje, skaičius </t>
  </si>
  <si>
    <t>V-006-02-01-03-04</t>
  </si>
  <si>
    <t>Muziejuje saugomų eksponatų skaičius</t>
  </si>
  <si>
    <t>V-006-02-01-03-03</t>
  </si>
  <si>
    <t xml:space="preserve">vnt. </t>
  </si>
  <si>
    <t>Muziejuje apsilankiusių asmenų (lankytojų) skaičius</t>
  </si>
  <si>
    <t>V-006-02-01-03-02</t>
  </si>
  <si>
    <t>Muziejaus suorganizuotų renginių/edukacijų/ projektų/ ekskursijų skaičius</t>
  </si>
  <si>
    <t xml:space="preserve">V-006-02-01-03-01 </t>
  </si>
  <si>
    <t>Žemaičių dailės muziejaus veikla</t>
  </si>
  <si>
    <t>Plungės TIC suorganizuotų renginių/edukacijų/ projektų/ ekskursijų skaičius</t>
  </si>
  <si>
    <t>V-006-02-01-02-04</t>
  </si>
  <si>
    <t>Parodų/mugių, kuriose dalyvauta, skaičius</t>
  </si>
  <si>
    <t>V-006-02-01-02-03</t>
  </si>
  <si>
    <t xml:space="preserve">Plungės TIC socialinės medijos (interneto puslapio, socialinių tinklų) lankytojų skaičius </t>
  </si>
  <si>
    <t>V-006-02-01-02-02</t>
  </si>
  <si>
    <t>Plungės TIC išleistų leidinių (rūšių) skaičius</t>
  </si>
  <si>
    <t>V-006-02-01-02-01</t>
  </si>
  <si>
    <t>Turizmo informacijos centro veikla</t>
  </si>
  <si>
    <t xml:space="preserve">Viešosios bibliotekos ir filialų fondų dokumentų skaičius </t>
  </si>
  <si>
    <t>V-006-02-01-01-03 (VB)</t>
  </si>
  <si>
    <t>Viešojoje bibliotekoje ir filialuose suorganizuotų renginių/edukacijų/ projektų/ ekskursijų skaičius</t>
  </si>
  <si>
    <t>V-006-02-01-01-02</t>
  </si>
  <si>
    <t>Viešojoje bibliotekoje ir filialuose apsilankiusių asmenų (lankytojų) skaičius</t>
  </si>
  <si>
    <t>V-006-02-01-01-01</t>
  </si>
  <si>
    <t xml:space="preserve">Viešosios bibliotekos veikla </t>
  </si>
  <si>
    <t>Muziejaus lankytojų skaičiaus pokytis (palyginti su praėjusiais metais)</t>
  </si>
  <si>
    <t>R-006-02-01-03</t>
  </si>
  <si>
    <t>Viešosios bibliotekos ir filialų skaitytojų dalis nuo visų rajono gyventojų skaičiaus</t>
  </si>
  <si>
    <t>R-006-02-01-02</t>
  </si>
  <si>
    <t>Turizmo informacijos centro lankytojų skaičiaus pokytis (palyginti su praėjusiais metais)</t>
  </si>
  <si>
    <t>R-006-02-01-01</t>
  </si>
  <si>
    <t>Užtikrinti Plungės rajono savivaldybės viešosios bibliotekos, Plungės TIC bei Žemaičių dailės muziejaus funkcionavimo ir informacijos sklaidos sąlygas</t>
  </si>
  <si>
    <t>Tenkinti vietos gyventojų ir rajono svečių informacinius, kultūrinius, švietimo poreikius, prisidėti prie turizmo plėtros rajone</t>
  </si>
  <si>
    <t>Aktyvių meno mėgėjų kolektyvų, veikiančių įstaigoje, skaičius</t>
  </si>
  <si>
    <t>V-006-01-01-05-03</t>
  </si>
  <si>
    <t>V-006-01-01-05-02</t>
  </si>
  <si>
    <t xml:space="preserve">Aktyvių / įgyvendintų kultūrinių, edukacinių ir meno programų / projektų skaičius </t>
  </si>
  <si>
    <t>V-006-01-01-05-01</t>
  </si>
  <si>
    <t>Žlibinų kultūros centro veikla</t>
  </si>
  <si>
    <t>V-006-01-01-04-03</t>
  </si>
  <si>
    <t>V-006-01-01-04-02</t>
  </si>
  <si>
    <t>V-006-01-01-04-01</t>
  </si>
  <si>
    <t>Žemaičių Kalvarijos kultūros centro veikla</t>
  </si>
  <si>
    <t>V-006-01-01-03-03</t>
  </si>
  <si>
    <t>V-006-01-01-03-02</t>
  </si>
  <si>
    <t>V-006-01-01-03-01</t>
  </si>
  <si>
    <t xml:space="preserve">Šateikių kultūros centro veikla </t>
  </si>
  <si>
    <t>V-006-01-01-02-03</t>
  </si>
  <si>
    <t>V-006-01-01-02-02</t>
  </si>
  <si>
    <t>V-006-01-01-02-01</t>
  </si>
  <si>
    <t>Kulių kultūros centro veikla</t>
  </si>
  <si>
    <t>V-006-01-01-01-04</t>
  </si>
  <si>
    <t>V-006-01-01-01-03</t>
  </si>
  <si>
    <t>V-006-01-01-01-02</t>
  </si>
  <si>
    <t>Į įstaigą atvykusių ir ilgalaikius produktus/ paslaugas sukūrusių profesionalių menininkų kūrėjų skaičius</t>
  </si>
  <si>
    <t xml:space="preserve">V-006-01-01-01-01 </t>
  </si>
  <si>
    <t>Kultūros centrų organizuojamų kultūrinių renginių skaičiaus pokytis (palyginti su praėjusiais metais)</t>
  </si>
  <si>
    <t>R-006-01-01-02</t>
  </si>
  <si>
    <t xml:space="preserve">Gyventojų, dalyvavusių kultūros centrų organizuojamuose renginiuose per metus, dalis nuo bendro rajono gyventojų skaičiaus (einamųjų metų sausio 1 d. duomenys) </t>
  </si>
  <si>
    <t>R-006-01-01-01</t>
  </si>
  <si>
    <t>4.3.1; 4.3.3; 4.3.5</t>
  </si>
  <si>
    <t>Padidinti kultūros centrų teikiamų paslaugų įvairovę ir kokybę</t>
  </si>
  <si>
    <t>Tenkinti vietos gyventojų sociokultūrinius poreikius, sudaryti galimybes kūrybinei saviraiškai</t>
  </si>
  <si>
    <t>6 priedas</t>
  </si>
  <si>
    <t>4.3.1-1; 4.3.3-1; 4.3.3-2; 4.3.5-1.</t>
  </si>
  <si>
    <t>4.3.2-1; 4.3.4-1.</t>
  </si>
  <si>
    <t>Surengtų konkursų skaičius</t>
  </si>
  <si>
    <t>V-007-02-01-03-02</t>
  </si>
  <si>
    <t>Pravestų mokymų skaičius</t>
  </si>
  <si>
    <t>V-007-02-01-03-01</t>
  </si>
  <si>
    <t>Antikorupcinio sąmoningumo didinimas</t>
  </si>
  <si>
    <t>Įgyvendinamų priemonių skaičius</t>
  </si>
  <si>
    <t>V-007-02-01-02-01</t>
  </si>
  <si>
    <t>Savivaldybės lygių galimybių užtikrinimo priemonių vykdymo planas</t>
  </si>
  <si>
    <t>Suorganizuotų mokymų skaičius lyčių lygybės tema</t>
  </si>
  <si>
    <t>V-007-02-01-01-01</t>
  </si>
  <si>
    <t>Lyčių lygybės užtikrinimas</t>
  </si>
  <si>
    <t>Savivaldybės lygių galimybių ir korupcijos prevencijos stiprinimo vykdymo plano įgyvendinimo lygis</t>
  </si>
  <si>
    <t>R-007-02-01-01</t>
  </si>
  <si>
    <t>Užtikrinti lyčių lygybės, lygių galimybių ir korupcijos prevencijos stiprinimo vykdymą</t>
  </si>
  <si>
    <t>Gerinti Savivaldybės valdymo ir veiklos efektyvumą</t>
  </si>
  <si>
    <t>Įsigytų priemonių, įrangos, įrenginių skaičius (vnt.)</t>
  </si>
  <si>
    <t>P-007-01-05-01-05</t>
  </si>
  <si>
    <t>Energetinio naudingumo sertifikatų skaičius</t>
  </si>
  <si>
    <t>P-007-01-05-01-04</t>
  </si>
  <si>
    <t xml:space="preserve">Atliktų nekilnojamojo turto vertinimų skaičius </t>
  </si>
  <si>
    <t>P-007-01-05-01-03</t>
  </si>
  <si>
    <t>Įregistruotų nekilnojamojo turto registre bylų skaičius</t>
  </si>
  <si>
    <t>P-007-01-05-01-02</t>
  </si>
  <si>
    <t>Atliktų kadastrinių matavimų bylų skaičius</t>
  </si>
  <si>
    <t>P-007-01-05-01-01</t>
  </si>
  <si>
    <t>Savivaldybės turto valdymas</t>
  </si>
  <si>
    <t>Parduotų objektų skaičius</t>
  </si>
  <si>
    <t>R-007-01-05-02</t>
  </si>
  <si>
    <t xml:space="preserve">Skirtų lėšų nuosavybės teise priklausančiam nekilnojamajam turtui kadastrinių matavimų byloms sudaryti, teisinei registracijai atlikti ir rinkos vertėms nustatyti pokytis (lyginant su praėjusiais metais)       </t>
  </si>
  <si>
    <t>R-007-01-05-01</t>
  </si>
  <si>
    <t>Efektyviai valdyti savivaldybės turtą</t>
  </si>
  <si>
    <t>Paskatintų sodybų ir ūkininkų skaičius</t>
  </si>
  <si>
    <t>V-007-01-04-01-02</t>
  </si>
  <si>
    <t>V-007-01-04-01-01</t>
  </si>
  <si>
    <t>Kaimo rėmimui</t>
  </si>
  <si>
    <t>Pateiktų paraiškų finansuoti programos lėšomis, skaičius</t>
  </si>
  <si>
    <t>R-007-01-04-01</t>
  </si>
  <si>
    <t>Didinti žemės ūkio šakos patrauklumą</t>
  </si>
  <si>
    <t>V-007-01-03-03-01</t>
  </si>
  <si>
    <t>Sumokėtų palūkanų dalis</t>
  </si>
  <si>
    <t>V-007-01-03-02-01</t>
  </si>
  <si>
    <t>Palūkanų mokėjimas</t>
  </si>
  <si>
    <t>Grąžintų paskolų dalis</t>
  </si>
  <si>
    <t>V-007-01-03-01-01</t>
  </si>
  <si>
    <t>Paskolų grąžinimas</t>
  </si>
  <si>
    <t>Finansinių įsipareigojimų vykdymo lygis</t>
  </si>
  <si>
    <t>R-007-01-03-01</t>
  </si>
  <si>
    <t>Užtikrinti paskolų ir kitų  grąžintinų lėšų grąžinimą ir palūkanų mokėjimą</t>
  </si>
  <si>
    <t>Patikėjimo teise valdomoje valstybinėje žemėje sutikimų išdavimas</t>
  </si>
  <si>
    <t>V-007-01-02-15-02 (VB)</t>
  </si>
  <si>
    <t>Sudarytos valstybinės žemės nuomos ir panaudos sutartys</t>
  </si>
  <si>
    <t>V-007-01-02-15-01 (VB)</t>
  </si>
  <si>
    <t xml:space="preserve">Savivaldybei priskirtos ir perduotos valstybinės žemės miestų ir miestelių administracinėse ribose valdymui, naudojimui ir disponavimui ja patikėjimo teise užtikrinti </t>
  </si>
  <si>
    <t>Suorganizuotų Vaiko gerovės komisijos posėdžių dėl prašymų skirti, pratęsti, panaikinti vaiko minimalios priežiūros priemones ar dėl  koordinuotai teikiamų paslaugų skyrimo vaikui (šeimai)</t>
  </si>
  <si>
    <t>V-007-01-02-14-01 (VB)</t>
  </si>
  <si>
    <t>Koordinuotai teikiamų paslaugų vaikams nuo gimimo iki 18 metų (turintiems didelių ir labai didelių specialiųjų ugdymosi poreikių – iki 21 metų) ir vaiko atstovams koordinavimui finansuoti</t>
  </si>
  <si>
    <t>V-007-01-02-13-01 (VB)</t>
  </si>
  <si>
    <t>Jaunimo teisių apsaugai</t>
  </si>
  <si>
    <t>Išduotų archyvinių pažymų skaičius</t>
  </si>
  <si>
    <t>V-007-01-02-12-01 (VB)</t>
  </si>
  <si>
    <t>Savivaldybei priskirtiems archyviniams dokumentams tvarkyti</t>
  </si>
  <si>
    <t>km</t>
  </si>
  <si>
    <t>Prižiūrėtų melioracijos griovių ilgis</t>
  </si>
  <si>
    <t>V-007-01-02-11-03 (VB)</t>
  </si>
  <si>
    <t>Įgyvendintų melioracijos ir hidrotechninių statinių  remonto (avarinio remonto), priežiūros darbų skaičius</t>
  </si>
  <si>
    <t>V-007-01-02-11-02 (VB)</t>
  </si>
  <si>
    <t>Apskaitomas melioruotas, priklausantis savivaldybei, patikėjimo teise valdomas (prižiūrimas) žemės plotas</t>
  </si>
  <si>
    <t>V-007-01-02-11-01 (VB)</t>
  </si>
  <si>
    <t>Valstybei nuosavybės teise priklausančių melioracijos ir hidrotechnikos statinių valdymui ir naudojimui patikėjimo teise užtikrinti</t>
  </si>
  <si>
    <t xml:space="preserve">Darbuotojų, atliekančių valstybines (valstybės perduotas savivaldybėms) funkcijas, skaičius </t>
  </si>
  <si>
    <t>V-007-01-01-10-01 (VB)</t>
  </si>
  <si>
    <t>Žemės ūkio funkcijoms atlikti</t>
  </si>
  <si>
    <t>Gyvenamosios vietos deklaracijų, asmenų pateiktų elektroniniu būdu, dalies didėjimas per metus ne mažiau kaip 1,5 proc.</t>
  </si>
  <si>
    <t>V-007-01-02-09-01 (VB)</t>
  </si>
  <si>
    <t>Gyvenamosios vietos deklaravimo duomenų ir gyvenamosios vietos neturinčių asmenų apskaitos duomenims tvarkyti</t>
  </si>
  <si>
    <t>Savivaldybės kaimo vietovėse kilusiuose gaisruose žuvusių žmonių skaičius, tenkantis 100 tūkst. gyventojų, ne didesnis kaip</t>
  </si>
  <si>
    <t>V-007-01-02-08-05 (VB)</t>
  </si>
  <si>
    <t>Savivaldybės kaimo vietovėse kilusių gaisrų (išskyrus gaisrus atvirose teritorijose ir transporto priemonėse)
skaičius, tenkantis 1000 gyventojų, ne didesnis kaip</t>
  </si>
  <si>
    <t>V-007-01-02-08-04 (VB)</t>
  </si>
  <si>
    <t xml:space="preserve">V-007-01-02-08-03 </t>
  </si>
  <si>
    <t>Užgesintų gaisrų skaičius</t>
  </si>
  <si>
    <t>V-007-01-02-08-02</t>
  </si>
  <si>
    <t>Išvykimų į kitus darbus skaičius</t>
  </si>
  <si>
    <t>V-007-01-02-08-01</t>
  </si>
  <si>
    <t>Priešgaisrinei saugai</t>
  </si>
  <si>
    <t>Savivaldybės pasirengimo reaguoti į ekstremalias situacijas lygis, ne žemesnis kaip, proc.</t>
  </si>
  <si>
    <t>V-007-01-02-07-01 (VB)</t>
  </si>
  <si>
    <t>Civilinei saugai</t>
  </si>
  <si>
    <t>Atliktų asmenų archyvinių įrašų skaičius</t>
  </si>
  <si>
    <t>V-007-01-02-06-01 (VB)</t>
  </si>
  <si>
    <t>Gyventojų registrui tvarkyti ir duomenims valstybės registrui  teikti</t>
  </si>
  <si>
    <t xml:space="preserve">Suteiktų teisinių konsultacijų skaičius </t>
  </si>
  <si>
    <t>V-007-01-02-05-01 (VB)</t>
  </si>
  <si>
    <t>Valstybės garantuojamai pirminei teisinei pagalbai teikti</t>
  </si>
  <si>
    <t>Civilinių aktų įrašų/ išrašų išdavimas</t>
  </si>
  <si>
    <t>V-007-01-02-04-03 (VB)</t>
  </si>
  <si>
    <t>V-007-01-02-04-02 (VB)</t>
  </si>
  <si>
    <t>V-007-01-02-04-01 (VB)</t>
  </si>
  <si>
    <t>Civilinės būklės aktams registruoti</t>
  </si>
  <si>
    <t xml:space="preserve">Darbuotojų, atliekančių valstybinės kalbos vartojimo taisyklingumo kontrolę, skaičius </t>
  </si>
  <si>
    <t>V-007-01-02-03-01 (VB)</t>
  </si>
  <si>
    <t>Valstybinės kalbos vartojimo ir taisyklingumo kontrolei</t>
  </si>
  <si>
    <t>prc.</t>
  </si>
  <si>
    <t xml:space="preserve">Savivaldybės mobilizacijos plano parengimas, atnaujinimas ir pasirengimas mobilizacijai ir priimančios šalies paramai teikti </t>
  </si>
  <si>
    <t>V-007-01-02-02-01 (VB)</t>
  </si>
  <si>
    <t>Dalyvauti rengiant ir vykdant mobilizaciją, demobilizaciją, priimančiosios  šalies paramą</t>
  </si>
  <si>
    <t xml:space="preserve">Suteiktos valstybės pagalbos registrui pateiktų registro objektų skaičius </t>
  </si>
  <si>
    <t>V-007-01-02-01-01 (VB)</t>
  </si>
  <si>
    <t>Duomenims į suteiktos valstybės  pagalbos  ir nereikšmingos  pagalbos registrą teikti</t>
  </si>
  <si>
    <t>Valstybinių funkcijų įgyvendinimui skirtų lėšų įsisavinimas</t>
  </si>
  <si>
    <t>R-007-01-02-01</t>
  </si>
  <si>
    <t>Vykdyti valstybines (valstybės perduotas savivaldybei) funkcijas</t>
  </si>
  <si>
    <t>Paremtų asmenų skaičius</t>
  </si>
  <si>
    <t>V-007-01-01-06-01</t>
  </si>
  <si>
    <t>Mero rezervas</t>
  </si>
  <si>
    <t>Etatų, kurie vykdo  funkcijas, finansuojamas iš valstybės biudžeto, skaičius</t>
  </si>
  <si>
    <t>V-007-01-01-05-02 (VB)</t>
  </si>
  <si>
    <t>Darbuotojų (etatų), dirbančių centralizuotoje buhalterijoje, skaičius</t>
  </si>
  <si>
    <t>V-007-01-01-05-01</t>
  </si>
  <si>
    <t>Paslaugų ir švietimo pagalbos centro veikla</t>
  </si>
  <si>
    <t>Prižiūrimų žaliųjų plotų dydis</t>
  </si>
  <si>
    <t>V-007-01-01-04-06</t>
  </si>
  <si>
    <t>Prižiūrimų seniūnijų vietinės reikšmės kelių ir gatvių ilgis</t>
  </si>
  <si>
    <t>V-007-01-01-04-05</t>
  </si>
  <si>
    <t>Prižiūrimų veikiančių kapinių plotas</t>
  </si>
  <si>
    <t>V-007-01-01-04-04</t>
  </si>
  <si>
    <t xml:space="preserve">Priimtų prašymų įvairioms socialinėms išmokoms ir paslaugoms gauti skaičius </t>
  </si>
  <si>
    <t>V-007-01-01-04-03</t>
  </si>
  <si>
    <t>Pateiktų žemės ūkio naudmenų deklaravimo paraiškų skaičius</t>
  </si>
  <si>
    <t>V-007-01-01-04-02</t>
  </si>
  <si>
    <t xml:space="preserve">Atsakytų raštų ir išduotų įvairių pažymų skaičius </t>
  </si>
  <si>
    <t>V-007-01-01-04-01</t>
  </si>
  <si>
    <t>Seniūnijų veikla</t>
  </si>
  <si>
    <t>Atliktų garantijų suteikimo vertinimų skaičius</t>
  </si>
  <si>
    <t>V-007-01-01-03-04</t>
  </si>
  <si>
    <t>Atliktų paskolos ėmimo galimybių vertinimų skaičius</t>
  </si>
  <si>
    <t>V-007-01-01-03-03</t>
  </si>
  <si>
    <t>V-007-01-01-03-02</t>
  </si>
  <si>
    <t>V-007-01-01-03-01</t>
  </si>
  <si>
    <t>Savivaldybės kontrolės ir audito tarnybos darbo užtikrinimas</t>
  </si>
  <si>
    <t>Darbuotojų, dirbančių pagal darbo sutartis, skaičius</t>
  </si>
  <si>
    <t>V-007-01-01-02-03</t>
  </si>
  <si>
    <t>Karjeros tarnautojų skaičius</t>
  </si>
  <si>
    <t>V-007-01-01-02-02</t>
  </si>
  <si>
    <t>Kvalifikaciją kėlusių darbuotojų skaičius</t>
  </si>
  <si>
    <t>V-007-01-01-02-01</t>
  </si>
  <si>
    <t>Savivaldybės administracijos veikla</t>
  </si>
  <si>
    <t>Įvykusių Savivaldybės tarybos komitetų ir Savivaldybės tarybos ir  kolegijos posėdžių kaičius</t>
  </si>
  <si>
    <t>V-007-01-01-01-02</t>
  </si>
  <si>
    <t>Priimtų Savivaldybės  tarybos sprendimų, skaičius</t>
  </si>
  <si>
    <t>V-007-01-01-01-01</t>
  </si>
  <si>
    <t>Savivaldybės tarybos veikla</t>
  </si>
  <si>
    <t>Savivaldybės administracijos darbuotojų etatų skaičiaus pokytis</t>
  </si>
  <si>
    <t>R-007-01-01-02</t>
  </si>
  <si>
    <t xml:space="preserve">Asmenų, deklaravusių gyvenamąją vietą elektroninėmis deklaravimo priemonėmis, skaičius nuo visų deklaruojančiųjų skaičiaus </t>
  </si>
  <si>
    <t>R-007-01-01-01</t>
  </si>
  <si>
    <t>Sudaryti sąlygas kokybiškai įgyvendinti Savivaldybės funkcijas</t>
  </si>
  <si>
    <t>Organizuoti ir užtikrinti tęstinę Savivaldybės veiklą</t>
  </si>
  <si>
    <t>7 priedas</t>
  </si>
  <si>
    <r>
      <t xml:space="preserve">2025-2027 METŲ </t>
    </r>
    <r>
      <rPr>
        <b/>
        <u/>
        <sz val="10"/>
        <color rgb="FF000000"/>
        <rFont val="Times New Roman"/>
        <family val="1"/>
        <charset val="186"/>
      </rPr>
      <t xml:space="preserve">002 EKONOMINĖS IR PROJEKTINĖS VEIKLOS </t>
    </r>
    <r>
      <rPr>
        <b/>
        <sz val="10"/>
        <color indexed="8"/>
        <rFont val="Times New Roman"/>
        <family val="1"/>
        <charset val="186"/>
      </rPr>
      <t>PROGRAMOS UŽDAVINIAI, PRIEMONĖS, ASIGNAVIMAI IR KITOS LĖŠOS, STEBĖSENOS RODIKLIAI</t>
    </r>
  </si>
  <si>
    <r>
      <t xml:space="preserve">2025-2027 METŲ </t>
    </r>
    <r>
      <rPr>
        <b/>
        <u/>
        <sz val="10"/>
        <color rgb="FF000000"/>
        <rFont val="Times New Roman"/>
        <family val="1"/>
        <charset val="186"/>
      </rPr>
      <t>001 UGDYMO KOKYBĖS, SPORTO IR MODERNIOS APLINKOS UŽTIKRINIMO PROGRAMOS</t>
    </r>
    <r>
      <rPr>
        <b/>
        <sz val="10"/>
        <color indexed="8"/>
        <rFont val="Times New Roman"/>
        <family val="1"/>
        <charset val="186"/>
      </rPr>
      <t xml:space="preserve"> UŽDAVINIAI, PRIEMONĖS, ASIGNAVIMAI IR KITOS LĖŠOS, STEBĖSEMOS RODIKLIAI </t>
    </r>
  </si>
  <si>
    <t>Pateiktų iniciatyvų projektams įgyvendinti skaičius</t>
  </si>
  <si>
    <t>P-008-01-01-07-01</t>
  </si>
  <si>
    <t>Dalyvaujamojo biudžeto įgyvendinimas</t>
  </si>
  <si>
    <t xml:space="preserve">Pasirašytų infrastruktūros plėtros sutarčių skaičius  </t>
  </si>
  <si>
    <t>V-008-01-01-06-01</t>
  </si>
  <si>
    <t>Savivaldybės infrastruktūros plėtra tikslinėmis lėšomis</t>
  </si>
  <si>
    <t>V-008-01-01-05-01</t>
  </si>
  <si>
    <t>Infrastruktūros plėtra Savivaldybės ir fizinių ar juridinių asmenų jungtinės veiklos pagrindu</t>
  </si>
  <si>
    <t>Nutiestų ir (ar) atnaujintų vietinės reikšmės kelių / gatvių ilgis</t>
  </si>
  <si>
    <t>P-008-01-01-04-01 (SB/ VB)</t>
  </si>
  <si>
    <t>1.7.2.</t>
  </si>
  <si>
    <t>Savivaldybės vietinės reikšmės kelių (gatvių) bei eismo saugumo priemonių plėtra, prisidedant prie darnaus judumo</t>
  </si>
  <si>
    <t>Remontuotų ir prižiūrėtų kelių ilgis</t>
  </si>
  <si>
    <t>V-008-01-01-03-01 (SB/ VB)</t>
  </si>
  <si>
    <t>Savivaldybės vietinės reikšmės keliams (gatvėms) tiesti, taisyti, prižiūrėti ir saugaus eismo sąlygoms užtikrinti</t>
  </si>
  <si>
    <t>Pagerintų, naujai įrengtų infrastruktūros objektų skaičius</t>
  </si>
  <si>
    <t>P-008-01-01-02-01</t>
  </si>
  <si>
    <t>1.2.5; 1.7.3; 1.9.1; 3.1.3</t>
  </si>
  <si>
    <t>Savivaldybės infrastruktūros objektų plėtra</t>
  </si>
  <si>
    <t>Remontuotų, prižiūrėtų infrastruktūros objektų skaičius</t>
  </si>
  <si>
    <t>V-008-01-01-01-01</t>
  </si>
  <si>
    <t>Savivaldybės infrastruktūros objektų planavimas, remontas ir priežiūra</t>
  </si>
  <si>
    <t>Kartu su visuomene įgyvendintų projektų skaičiaus pokytis (palyginti praėjusiais metais)</t>
  </si>
  <si>
    <t>R-008-01-01-04</t>
  </si>
  <si>
    <t xml:space="preserve">Vietinės reikšmės kelių ir gatvių su asfaltbetonio danga, dalis </t>
  </si>
  <si>
    <t>R-008-01-01-03</t>
  </si>
  <si>
    <t>Savivaldybės nuosavybės forma valdomos ir prižiūrėtos infrastruktūros objektų dalis</t>
  </si>
  <si>
    <t>R-008-01-01-02</t>
  </si>
  <si>
    <t>Įstaigų, kuriuose atnaujinta infrastruktūra, dalis</t>
  </si>
  <si>
    <t>R-008-01-01-01</t>
  </si>
  <si>
    <t>1.2.5; 1.7.2; 1.7.3; 1.9.1; 2.1.7; 3.1.3</t>
  </si>
  <si>
    <t>Gerinti aplinkos kokybę, plėtoti infrastruktūrą, sudaryti geresnes sąlygas gyventi ir dirbti</t>
  </si>
  <si>
    <t xml:space="preserve">                                                 </t>
  </si>
  <si>
    <t xml:space="preserve">                                             </t>
  </si>
  <si>
    <t>8 priedas</t>
  </si>
  <si>
    <t>2025-2027 METŲ 008 INFRASTRUKTŪROS OBJEKTŲ PRIEŽIŪROS IR ŪKINIŲ SUBJEKTŲ RĖMIMO PROGRAMOS UŽDAVINIAI, PRIEMONĖS, ASIGNAVIMAI IR KITOS LĖŠOS, STEBĖSENOS RODIKLIAI</t>
  </si>
  <si>
    <t>1.2.5-1; 1.2.5-2; 1.7.2-1; 1.7.3-1; 1.9.1-1; 2.1.7-1; 2.1.7-2; 3.1.3-1.</t>
  </si>
  <si>
    <t>1.2.5-1; 1.2.5-2; 1.7.3-1;  1.9.1-1; 3.1.3-1.</t>
  </si>
  <si>
    <t>1.7.2-1</t>
  </si>
  <si>
    <t>Plungės rajono savivaldybės tarybos</t>
  </si>
  <si>
    <t xml:space="preserve">Plungės rajono savivaldybės </t>
  </si>
  <si>
    <t>2025–2027 metų  strateginio veiklos plano</t>
  </si>
  <si>
    <t>* P - pažangos uždavinys, T - tęstinės veiklos uždavinys, RP - regiono pažangos priemonė (projektas), PP - pažangos priemonė (projektas), TP - tęstinės veiklos priemonė, NF - nefinansinė priemonė, TE - tęstinė veiklos priemonė, skirta 2014-2020 m. nacionalinei pažangos programai / ES fondų investicijų veiksmų programai įgyvendinti, TI - tęstinė veiklos priemonė, pagal kurią planuojami tęstiniai investiciniai projektai (pereinamojo laikotarpio).</t>
  </si>
  <si>
    <t>V-004-05-01-01-05</t>
  </si>
  <si>
    <t>Pritrauktų pareigūnų skaičius</t>
  </si>
  <si>
    <t>Savivaldybės strateginio plėtros plano tikslo/uždavinio kodas**</t>
  </si>
  <si>
    <t>Savivaldybės strateginio plėtros plano rodiklio kodas**</t>
  </si>
  <si>
    <t xml:space="preserve">** https://www.plunge.lt/administracine-informacija/planavimo-dokumentai/ilgalaikiai-planavimo-dokumentai/plunges-rajono-savivaldybes-2021-2030-metu-strateginis-pletros-planas/ </t>
  </si>
  <si>
    <t>Kulių gimnazijos veikla</t>
  </si>
  <si>
    <t>18</t>
  </si>
  <si>
    <t>19</t>
  </si>
  <si>
    <t>Programos tikslo/uždavinio/priemonės pavadinimas ir finansavimo šaltiniai</t>
  </si>
  <si>
    <t>5 priedas</t>
  </si>
  <si>
    <t>Socialinių paslaugų organizavimas</t>
  </si>
  <si>
    <t>Akredituotos vaikų dienos socialinės priežiūros organizavimas</t>
  </si>
  <si>
    <t>Būsto pritaikymo asmenims su negalia organizavimas</t>
  </si>
  <si>
    <t>V-004-01-01-15-01 (SB/VB)</t>
  </si>
  <si>
    <t>V-004-01-01-16-01</t>
  </si>
  <si>
    <t>Padidinti informacinių technologijų naudojimą bendrojo ugdymo mokyklose</t>
  </si>
  <si>
    <t>Mokinių aprūpinimas IKT įranga bendrojo ugdymo mokyklose</t>
  </si>
  <si>
    <t xml:space="preserve">Saugios nakvynės paslaugos organizavimas </t>
  </si>
  <si>
    <t>NVO projektų teikiant socialines paslaugas bendruomenėje finansavimas</t>
  </si>
  <si>
    <t>Apsaugos nuo  smurto artimoje aplinkoje prevencija</t>
  </si>
  <si>
    <t>V-007-02-01-04-01</t>
  </si>
  <si>
    <t>V-007-02-01-04-02</t>
  </si>
  <si>
    <t>Išleisto leidinio apie smurto rūšis, pasekmes ir kaip atpažinti smurto požymius tiražas</t>
  </si>
  <si>
    <t>Įgyvendinamų projektų skaičius (pereinamojo laikotarpio)</t>
  </si>
  <si>
    <t>Investicijų projektų, gavusių valstybės biudžeto dotaciją, skaičius (pereinamojo laikotarpio)</t>
  </si>
  <si>
    <t>Investicijų ir kitų projektų vykdymas (pereinamojo laikotarpio)</t>
  </si>
  <si>
    <t>Krepšinio komandos Plungės "Olimpas" rėmimas</t>
  </si>
  <si>
    <t>Vaikų, gaunančių konsultavimo paslaugas įtraukiojo ugdymo klausimais skaičius</t>
  </si>
  <si>
    <t>TE</t>
  </si>
  <si>
    <t>Investicijų ir kitų projektų, skirtų 2014-2020 m. nacionalinei pažangos programai/ ES fondų investicijų programai, vykdymas</t>
  </si>
  <si>
    <t>Įgyvendinamų projektų skaičius (2014-2020 m. periodo)</t>
  </si>
  <si>
    <t>Socialinės reabilitacijos paslaugų asmenims su negalia bendruomenėje organizavimas</t>
  </si>
  <si>
    <t>Asmenų su negalia reikalų koordinavimo funkcijos atlikimas</t>
  </si>
  <si>
    <t>Laikino atokvėpio paslaugos organizavimas</t>
  </si>
  <si>
    <t xml:space="preserve">Socialinės globos paslaugų gavėjų skaičius </t>
  </si>
  <si>
    <t xml:space="preserve">Vaikų su negalia, gaunančių dienos socialinės globos paslaugas, skaičius </t>
  </si>
  <si>
    <t>Plungės kultūros centro veikla</t>
  </si>
  <si>
    <t>Strateginių Plungės rajono renginių organizavimas</t>
  </si>
  <si>
    <t>Finansuotų renginių skaičius</t>
  </si>
  <si>
    <t>Užtikrinti  kultūros paveldo apsaugą</t>
  </si>
  <si>
    <t>Užtikrinti kultūros paveldo apskaitą, tvarkymą, saugojimą, sklaidą, priežiūrą ir įveiklinimą</t>
  </si>
  <si>
    <t>R-006-04-01-01</t>
  </si>
  <si>
    <t>V-006-04-01-01-01</t>
  </si>
  <si>
    <t>V-006-04-01-01-02</t>
  </si>
  <si>
    <t xml:space="preserve">ILTE grąžintinos dotacijos </t>
  </si>
  <si>
    <t>Plėtoti nacionalinius grėsmių vertinimo ir išankstinio perspėjimo pajėgumus, reguliariai organizuoti mokymus ir pratybas, siekiant užtikrinti v eiksmingą krizių ir ekstremaliųjų situacijų prevenciją, pasirengimą joms ir jų valdymo sistemos veikimą</t>
  </si>
  <si>
    <t xml:space="preserve">Gyventojų, kuriems užtikrinta vieta priedangose, dalis </t>
  </si>
  <si>
    <t>Stiprinti pasirengimą valdyti krizes ir ekstremaliąsias situacijas ir šalinti jų padarinius</t>
  </si>
  <si>
    <t>P-007-01-06-01-01</t>
  </si>
  <si>
    <t>Gyventojų perspėjimas ir informavimas, nemažiau kaip 60 procentų gyventojų populiacijos</t>
  </si>
  <si>
    <t>Atliktų savivaldybės ataskaitų rinkinio finansinį  auditą skaičius</t>
  </si>
  <si>
    <t xml:space="preserve">Atlikti veiklos auditą </t>
  </si>
  <si>
    <t>Valstybinės (valstybės perduotos savivaldybėms) užregistruoti civilinės būklės aktų  įrašų skaičius</t>
  </si>
  <si>
    <t>Dūmų detektorių įsigijimas</t>
  </si>
  <si>
    <t>Surengtų konferecijų ar renginių jaunimui, ir  su jaunimu dirbančioms įstaigoms  skaičius</t>
  </si>
  <si>
    <t>Grąžintų ILTES dotacijų dalis</t>
  </si>
  <si>
    <t>Infrastruktūros plėtros įgyvendintų objektų skaičius jungtinės veiklos pagrindu</t>
  </si>
  <si>
    <t xml:space="preserve">** https://www.plunge.lt/administracine-informacija/planavimo-dokumentai/ilgalaikiai-planavimo-dokumentai/plunges-rajono-savivaldybes-2021-2030-metu-strateginis-pletros-planas/   </t>
  </si>
  <si>
    <t>Bendruomeninės veiklos Savivaldybėje stiprinimas</t>
  </si>
  <si>
    <t>Plėtoti socialinės globos ir kitas socialines paslaugas Savivaldybės teritorijoje</t>
  </si>
  <si>
    <t xml:space="preserve">Gerinti Savivaldybės gyventojų sveikatos lygį bei sveikatos priežiūros paslaugų prieinamumą ir kokybę </t>
  </si>
  <si>
    <t xml:space="preserve">Skatinti jaunimo savirealizaciją bei jaunimo iniciatyvas, inicijuoti ir koordinuoti Savivaldybės jaunimo politikos formavimą ir jaunimo veiklos organizavimą </t>
  </si>
  <si>
    <t>Užtikrinti kompleksišką  ir subalansuotą Savivaldybės raidą</t>
  </si>
  <si>
    <t>Skatinti bendruomeniškumą Savivaldybėje</t>
  </si>
  <si>
    <t>Padidinti kokybiškų ir kvalifikuotų asmens sveikatos priežiūros paslaugų prieinamumą Savivaldybės gyventojams</t>
  </si>
  <si>
    <t>Užtikrinti Savivaldybei reikalingų specialistų pritraukimą</t>
  </si>
  <si>
    <t>Sumažinti taršą ir jos poveikį aplinkai, kompensuoti aplinkai padarytą žalą bei sukurti subalansuotą ir sveiką aplinką Savivaldybės teritorijoje</t>
  </si>
  <si>
    <t>Eksploatuoti, remontuoti, prižiūrėti ir plėtoti infrastruktūros objektus Savivaldybės teritorijoje</t>
  </si>
  <si>
    <t>Organizuoti ir įgyvendinti valstybės bei Savivaldybės teikiamą socialinę paramą Savivaldybėje</t>
  </si>
  <si>
    <t xml:space="preserve">Bendruomenės centro programos įgyvendinimas </t>
  </si>
  <si>
    <t>1.2.2; 1.2.6; 1.2.7</t>
  </si>
  <si>
    <t xml:space="preserve">1.5.2-1;  3.1.1-1.
</t>
  </si>
  <si>
    <t>1.5.2; 3.1.1.</t>
  </si>
  <si>
    <t>1.2.4-1; 1.2.4-2; 4.1.3-1; 4.1.4-1.</t>
  </si>
  <si>
    <r>
      <rPr>
        <sz val="10"/>
        <color theme="1"/>
        <rFont val="Times New Roman"/>
        <family val="1"/>
        <charset val="186"/>
      </rPr>
      <t xml:space="preserve">1.2.4; 4.1.3; 4.1.4; </t>
    </r>
    <r>
      <rPr>
        <sz val="10"/>
        <rFont val="Times New Roman"/>
        <family val="1"/>
        <charset val="186"/>
      </rPr>
      <t xml:space="preserve">
</t>
    </r>
  </si>
  <si>
    <t>R-004-02-01-01-01</t>
  </si>
  <si>
    <t>Sveikatos priežiūros specialistai, įgyjantys universitetinį išsilavinimą</t>
  </si>
  <si>
    <t>1.1.2; 1.1.3.</t>
  </si>
  <si>
    <t>1.6.4; 1.9.1.</t>
  </si>
  <si>
    <t>1.1.1; 1.1.5; 1.2.2; 1.2.5; 1.2.6; 1.5; 1.5.2; 1.6.2; 2.1.6; 3.1.1; 4.1.2; 4.3.7; 4.4.5.</t>
  </si>
  <si>
    <t>1.1.1-1; 1.1.5-1;1.2.2-1; 1.2.5-1; 1.2.6-1; 1.5-1; 1.5.2-1; 1.6.2-1; 2.1.6-1; 3.1.1-1; 4.1.2-1; 4.1.2-2; 4.3.7-1; 4.4.5-1; 4.4.5-2.</t>
  </si>
  <si>
    <t>4.3; 4.3.2; 4.3.4</t>
  </si>
  <si>
    <t>4.3-1; 4.3-2; 4.3-3; 4.3.2-1; 4.3.4-1.</t>
  </si>
  <si>
    <t>4.3.</t>
  </si>
  <si>
    <t>4.3-1; 4.3-2; 4.3-3.</t>
  </si>
  <si>
    <t>4.2; 4.2.5; 4.3.2; 4.3.5; 4.4.1; 4.4.5</t>
  </si>
  <si>
    <t>4.2-1; 4.2-2; 4.2.5-1; 4.3.2-1; 4.3.5-1; 4.4.1-1; 4.4.5-1;  4.4.5-2.</t>
  </si>
  <si>
    <t xml:space="preserve"> 1.1.1; 1.1.3; 1.2.5; 1.5.1; 1.5.2; 1.5.4; 1.8.1; 1.8.2; 1.8.3; 2.1.2; 2.1.4; 3.3; 3.3.3; 4.2.1; 4.4.2; 4.4.3; 4.4.4; 4.4.5.</t>
  </si>
  <si>
    <t>1.1.1.-1; 1.1.3-1; 1.1.3-2; 1.1.3-3; 1.2.5-1; 1.2.5-2; 1.5.1-1; 1.5.1-2; 1.5.2-1; 1.5.4-1; 1.8.1-1; 1.8.2-1; 1.8.3-1; 2.1.4-1; 3.3-1; 3.3.3-1; 4.2.1-1; 4.4.2-1; 4.4.3-1; 4.4.4-1; 4.4.5-1.</t>
  </si>
  <si>
    <t xml:space="preserve"> 2.1; 2.1.2; 2.3.</t>
  </si>
  <si>
    <t>2.1-1; 2.1-2; 2.1-3; 2.1.2-1; 2.3-1; 2.3-2.</t>
  </si>
  <si>
    <t>1.2.5; 1.6.3; 1.10; 1.10.1; 1.10.2; 2.1.5; 3.3.2; 4.1.3</t>
  </si>
  <si>
    <t xml:space="preserve">1.2.5-1; 1.2.5-2; 1.6.3-1; 1.10-1; 1.10.1-1; 2.1.5-1; 3.3.2-1; 4.1.3-1.  </t>
  </si>
  <si>
    <t>1.6.4; 1.9; 1.9.1.</t>
  </si>
  <si>
    <t>1.6.4-1; 1.9-1; 1.9.1-1.</t>
  </si>
  <si>
    <t>V-004-01-01-07-02 (VB)</t>
  </si>
  <si>
    <t>V-004-01-01-07-03 (VB)</t>
  </si>
  <si>
    <t>Neveiksnių asmenų būklės peržiūrėjimo komisijos inicijuotų asmens būklės peržiūrėjimo bylų skaičius</t>
  </si>
  <si>
    <t>Išnagrinėtų Neveiksnių asmenų būklės peržiūrėjimo komisijos
inicijuotų asmens būklės peržiūrėjimo bylų skaičius</t>
  </si>
  <si>
    <t>Neveiksnių asmenų būklės peržiūrėjimo komisijos priimtų sprendimų kreiptis į teismą skaičius</t>
  </si>
  <si>
    <t>Nemokamo maitinimo gavėjų skaičius per mėn.</t>
  </si>
  <si>
    <t>Asmenų dalis iš užimtumo didinimo programų dalyvių skaičiaus, pasibaigus užimtumo programoms, po 6 mėnesių dirbantys arba vykdantys savarankišką veiklą</t>
  </si>
  <si>
    <t>Šeimų, gaunančių socialines paslaugas, skaičius</t>
  </si>
  <si>
    <t>Asmeninės pagalbos teikimo organizavimas</t>
  </si>
  <si>
    <t>V-004-01-01-17-01</t>
  </si>
  <si>
    <t>Asmenų, kuriems suteikta asmeninė pagalba, skaičius</t>
  </si>
  <si>
    <t>Užtikrinti miesto viešojo tualeto eksploatavimą</t>
  </si>
  <si>
    <t>Užtikrinti viešojo tualeto nepertraukiamą veiklą</t>
  </si>
  <si>
    <t>Finansinės paramos pirmąjį būstą įsigyjančioms jaunoms šeimoms teikimas</t>
  </si>
  <si>
    <t>Sudaryti sąlygas įsigyti būstą pažeidžiamiausioms gyventojų grupėms</t>
  </si>
  <si>
    <t>P-004-03-01-01-02</t>
  </si>
  <si>
    <t>Šeimų, gavusių finansinę paramą pirmąjį būstą įsigyjančioms jaunoms šeimoms, skaičius</t>
  </si>
  <si>
    <t>Kompensacijų nepriklausomybės gynėjams,
nukentėjusiems nuo 1991 m. sausio 11–13 d. ir
po to vykdytos SSRS agresijos, bei jų šeimoms
gavėjų skaičius</t>
  </si>
  <si>
    <t>V-004-01-01-01-02 (VB)</t>
  </si>
  <si>
    <t>R-001-01-01-08</t>
  </si>
  <si>
    <t>Pagalbos į namus paslaugų ir dienos socialinės globos paslaugų asmens namuose gavėjų skaičius</t>
  </si>
  <si>
    <t>V-004-01-01-03-01</t>
  </si>
  <si>
    <t>Psichikos sveikatos stiprinimo suteiktų individualių konsultacijų trukmė</t>
  </si>
  <si>
    <t>Psichikos sveikatos stiprinimo suteiktų grupinių konsultacijų ar užsiėmimų trukmė</t>
  </si>
  <si>
    <t>V-004-01-02-01-01</t>
  </si>
  <si>
    <t>Tiesiogiai su vaikais dirbančių specialistų skaičius</t>
  </si>
  <si>
    <t>Sunkios negalios asmenų, gaunančių globos paslaugas, skaičius</t>
  </si>
  <si>
    <t>Dienos užimtumo centre dalyvavusių lankytojų skaičius</t>
  </si>
  <si>
    <t>Skubios pagalbos skyriaus atitikimas B tipui</t>
  </si>
  <si>
    <t>Nedarbo lygis rajone</t>
  </si>
  <si>
    <t>R-004-01-03-02</t>
  </si>
  <si>
    <t>Užtikrinti nuoseklų Savivaldybės teritorijos vystymąsi</t>
  </si>
  <si>
    <t>Valstybinės žemės sklypų suformuotų pardavimo ir nuomos aukcionams bendras plotas</t>
  </si>
  <si>
    <t>Gerinti ugdymo kokybę bei užtikrinti švietimo pagalbą Savivaldybės švietimo įstaigose</t>
  </si>
  <si>
    <t>Organizuoti kokybišką švietimo pagalbą ir rūpintis pagalbos prieinamumu Savivaldybėje</t>
  </si>
  <si>
    <t>Sudaryti sąlygas gabiems Savivaldybės mokiniams dalyvauti rajoninėse, respublikinėse mokomųjų dalykų olimpiadose, tarptautiniuose konkursuose, užtikrinti tarpinstitucinį bendradarbiavimą ir švietimo pagalbos teikimą</t>
  </si>
  <si>
    <t>Organizuoti jaunimo užimtumą, skatinti ir remti Savivaldybės jaunimo savanorišką veiklą bei vykdomas veiklos programas</t>
  </si>
  <si>
    <t>Plėtoti Savivaldybės gyventojų fizinį ugdymą, sudaryti jiems palankias sąlygas sportuoti</t>
  </si>
  <si>
    <t>Remti ir skatinti masinių sporto sveikatingumo renginių vykdymą Savivaldybėje</t>
  </si>
  <si>
    <t>Žemaičių Kalvarijos Motiejaus Valančiaus gimnazijos veikla</t>
  </si>
  <si>
    <t>P-002-01-01-05-01</t>
  </si>
  <si>
    <t>P-002-01-01-05-02 (VB)</t>
  </si>
  <si>
    <t>V-002-01-01-03-01</t>
  </si>
  <si>
    <t>V-002-01-01-03-02 (VB)</t>
  </si>
  <si>
    <t xml:space="preserve">Patikrintų kartografijos planų portale TIIS skaičius </t>
  </si>
  <si>
    <r>
      <t xml:space="preserve">2025-2027 METŲ </t>
    </r>
    <r>
      <rPr>
        <b/>
        <u/>
        <sz val="10"/>
        <color theme="1"/>
        <rFont val="Times New Roman"/>
        <family val="1"/>
        <charset val="186"/>
      </rPr>
      <t>004 SOCIALIAI SAUGIOS IR SVEIKOS APLINKOS PROGRAMOS</t>
    </r>
    <r>
      <rPr>
        <b/>
        <sz val="10"/>
        <color theme="1"/>
        <rFont val="Times New Roman"/>
        <family val="1"/>
        <charset val="186"/>
      </rPr>
      <t xml:space="preserve"> UŽDAVINIAI, PRIEMONĖS, ASIGNAVIMAI IR KITOS LĖŠOS, STEBĖSENOS RODIKLIAI</t>
    </r>
  </si>
  <si>
    <t>Atliktų viešojo tualeto remontų skaičius</t>
  </si>
  <si>
    <t>Kultūros projektų rėmimas</t>
  </si>
  <si>
    <t xml:space="preserve">Nacionalinėse ir tarptautinėse olimpiadose, ir konkursuose pelniusių mokinių prizines vietas, skaičius </t>
  </si>
  <si>
    <t xml:space="preserve">Nupirktas bendras žemės sklypų plotas reikalingas Savivaldybės infrastruktūros plėtojimui </t>
  </si>
  <si>
    <t>V-003-01-01-01-04 (SB/VB)</t>
  </si>
  <si>
    <t>2025 m. vasario 13 d. sprendimu Nr.T1-</t>
  </si>
  <si>
    <r>
      <t xml:space="preserve">2025-2027 METŲ </t>
    </r>
    <r>
      <rPr>
        <b/>
        <u/>
        <sz val="10"/>
        <color rgb="FF000000"/>
        <rFont val="Times New Roman"/>
        <family val="1"/>
        <charset val="186"/>
      </rPr>
      <t>003 TERITORIJŲ PLANAVIMO PROGRAMOS</t>
    </r>
    <r>
      <rPr>
        <b/>
        <sz val="10"/>
        <color indexed="8"/>
        <rFont val="Times New Roman"/>
        <family val="1"/>
        <charset val="186"/>
      </rPr>
      <t xml:space="preserve"> UŽDAVINIAI, PRIEMONĖS, ASIGNAVIMAI IR KITOS LĖŠOS, STEBĖSENOS RODIKLIAI</t>
    </r>
  </si>
  <si>
    <r>
      <t xml:space="preserve">2025-2027 METŲ </t>
    </r>
    <r>
      <rPr>
        <b/>
        <u/>
        <sz val="10"/>
        <color rgb="FF000000"/>
        <rFont val="Times New Roman"/>
        <family val="1"/>
        <charset val="186"/>
      </rPr>
      <t>006 KULTŪROS IR TURIZMO PROGRAMOS</t>
    </r>
    <r>
      <rPr>
        <b/>
        <sz val="10"/>
        <color indexed="8"/>
        <rFont val="Times New Roman"/>
        <family val="1"/>
        <charset val="186"/>
      </rPr>
      <t xml:space="preserve"> UŽDAVINIAI, PRIEMONĖS, ASIGNAVIMAI IR KITOS LĖŠOS, STEBĖSENOS RODIKLIAI</t>
    </r>
  </si>
  <si>
    <r>
      <t xml:space="preserve">2025-2027 METŲ </t>
    </r>
    <r>
      <rPr>
        <b/>
        <u/>
        <sz val="10"/>
        <color theme="1"/>
        <rFont val="Times New Roman"/>
        <family val="1"/>
        <charset val="186"/>
      </rPr>
      <t>007 SAVIVALDYBĖS VEIKLOS VALDYMO PROGRAMOS</t>
    </r>
    <r>
      <rPr>
        <b/>
        <sz val="10"/>
        <color theme="1"/>
        <rFont val="Times New Roman"/>
        <family val="1"/>
        <charset val="186"/>
      </rPr>
      <t xml:space="preserve"> UŽDAVINIAI, PRIEMONĖS, ASIGNAVIMAI IR KITOS LĖŠOS, STEBĖSENOS RODIKLIAI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</si>
</sst>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10409]#0.000"/>
    <numFmt numFmtId="165" formatCode="[$-10409]#0.00"/>
    <numFmt numFmtId="166" formatCode="0.000"/>
    <numFmt numFmtId="167" formatCode="0.0%"/>
    <numFmt numFmtId="168" formatCode="[$-10409]#0"/>
    <numFmt numFmtId="169" formatCode="0.0"/>
  </numFmts>
  <fonts count="26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0"/>
      <color theme="1" tint="0.499984740745262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u/>
      <sz val="10"/>
      <color theme="1"/>
      <name val="Times New Roman"/>
      <family val="1"/>
      <charset val="186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1" fillId="0" borderId="0"/>
  </cellStyleXfs>
  <cellXfs count="627">
    <xf numFmtId="0" fontId="0" fillId="0" borderId="0" xfId="0"/>
    <xf numFmtId="0" fontId="1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3" fillId="7" borderId="1" xfId="0" applyFont="1" applyFill="1" applyBorder="1" applyAlignment="1" applyProtection="1">
      <alignment horizontal="left" vertical="center" wrapText="1" readingOrder="1"/>
      <protection locked="0"/>
    </xf>
    <xf numFmtId="0" fontId="17" fillId="6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3" applyFont="1"/>
    <xf numFmtId="0" fontId="9" fillId="0" borderId="0" xfId="3" applyFont="1"/>
    <xf numFmtId="0" fontId="1" fillId="0" borderId="0" xfId="3" applyFont="1" applyAlignment="1">
      <alignment horizontal="center"/>
    </xf>
    <xf numFmtId="166" fontId="14" fillId="0" borderId="0" xfId="3" applyNumberFormat="1" applyFont="1" applyAlignment="1">
      <alignment horizontal="center"/>
    </xf>
    <xf numFmtId="166" fontId="19" fillId="0" borderId="0" xfId="3" applyNumberFormat="1" applyFont="1" applyAlignment="1">
      <alignment horizontal="center"/>
    </xf>
    <xf numFmtId="0" fontId="1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164" fontId="13" fillId="0" borderId="1" xfId="3" applyNumberFormat="1" applyFont="1" applyBorder="1" applyAlignment="1" applyProtection="1">
      <alignment horizontal="center" vertical="center" wrapText="1" readingOrder="1"/>
      <protection locked="0"/>
    </xf>
    <xf numFmtId="166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4" fillId="0" borderId="0" xfId="3" applyFont="1" applyAlignment="1"/>
    <xf numFmtId="0" fontId="14" fillId="0" borderId="0" xfId="3" applyFont="1" applyBorder="1" applyAlignment="1"/>
    <xf numFmtId="0" fontId="6" fillId="0" borderId="0" xfId="3" applyFont="1" applyAlignment="1">
      <alignment horizontal="left"/>
    </xf>
    <xf numFmtId="166" fontId="11" fillId="6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9" fillId="6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1" xfId="3" applyFont="1" applyFill="1" applyBorder="1" applyAlignment="1" applyProtection="1">
      <alignment vertical="center" wrapText="1" readingOrder="1"/>
      <protection locked="0"/>
    </xf>
    <xf numFmtId="9" fontId="12" fillId="0" borderId="1" xfId="4" applyFont="1" applyFill="1" applyBorder="1" applyAlignment="1" applyProtection="1">
      <alignment horizontal="center" vertical="center" wrapText="1" readingOrder="1"/>
      <protection locked="0"/>
    </xf>
    <xf numFmtId="165" fontId="3" fillId="9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1" xfId="3" applyFont="1" applyFill="1" applyBorder="1" applyAlignment="1">
      <alignment wrapText="1"/>
    </xf>
    <xf numFmtId="0" fontId="8" fillId="9" borderId="1" xfId="3" applyFont="1" applyFill="1" applyBorder="1" applyAlignment="1">
      <alignment horizontal="left" vertical="center" wrapText="1"/>
    </xf>
    <xf numFmtId="166" fontId="14" fillId="0" borderId="1" xfId="3" applyNumberFormat="1" applyFont="1" applyBorder="1" applyAlignment="1" applyProtection="1">
      <alignment horizontal="center" vertical="center" wrapText="1" readingOrder="1"/>
      <protection locked="0"/>
    </xf>
    <xf numFmtId="166" fontId="19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1" fillId="0" borderId="1" xfId="3" applyFont="1" applyBorder="1" applyAlignment="1" applyProtection="1">
      <alignment vertical="center" wrapText="1" readingOrder="1"/>
      <protection locked="0"/>
    </xf>
    <xf numFmtId="166" fontId="1" fillId="8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9" fillId="8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3" applyFont="1" applyBorder="1" applyAlignment="1" applyProtection="1">
      <alignment horizontal="left" vertical="center" wrapText="1" readingOrder="1"/>
      <protection locked="0"/>
    </xf>
    <xf numFmtId="0" fontId="1" fillId="0" borderId="1" xfId="3" applyFont="1" applyBorder="1" applyAlignment="1">
      <alignment horizontal="left" vertical="center" wrapText="1"/>
    </xf>
    <xf numFmtId="0" fontId="1" fillId="3" borderId="1" xfId="3" applyFont="1" applyFill="1" applyBorder="1" applyAlignment="1">
      <alignment horizontal="left" vertical="center" wrapText="1"/>
    </xf>
    <xf numFmtId="166" fontId="14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9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1" fillId="5" borderId="1" xfId="3" applyFont="1" applyFill="1" applyBorder="1" applyAlignment="1" applyProtection="1">
      <alignment vertical="center" wrapText="1" readingOrder="1"/>
      <protection locked="0"/>
    </xf>
    <xf numFmtId="0" fontId="3" fillId="5" borderId="1" xfId="3" applyFont="1" applyFill="1" applyBorder="1" applyAlignment="1" applyProtection="1">
      <alignment horizontal="center" vertical="center" wrapText="1" readingOrder="1"/>
      <protection locked="0"/>
    </xf>
    <xf numFmtId="166" fontId="14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9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" xfId="3" applyFont="1" applyFill="1" applyBorder="1" applyAlignment="1" applyProtection="1">
      <alignment vertical="center" wrapText="1" readingOrder="1"/>
      <protection locked="0"/>
    </xf>
    <xf numFmtId="9" fontId="12" fillId="10" borderId="1" xfId="4" applyFont="1" applyFill="1" applyBorder="1" applyAlignment="1" applyProtection="1">
      <alignment horizontal="center" vertical="center" wrapText="1" readingOrder="1"/>
      <protection locked="0"/>
    </xf>
    <xf numFmtId="0" fontId="1" fillId="9" borderId="1" xfId="3" applyFont="1" applyFill="1" applyBorder="1" applyAlignment="1">
      <alignment horizontal="left" vertical="center" wrapText="1"/>
    </xf>
    <xf numFmtId="0" fontId="8" fillId="9" borderId="1" xfId="3" applyFont="1" applyFill="1" applyBorder="1" applyAlignment="1">
      <alignment wrapText="1"/>
    </xf>
    <xf numFmtId="0" fontId="3" fillId="0" borderId="1" xfId="3" applyFont="1" applyFill="1" applyBorder="1" applyAlignment="1" applyProtection="1">
      <alignment horizontal="left" vertical="center" wrapText="1" readingOrder="1"/>
      <protection locked="0"/>
    </xf>
    <xf numFmtId="166" fontId="9" fillId="12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" fillId="4" borderId="1" xfId="3" applyFont="1" applyFill="1" applyBorder="1" applyAlignment="1" applyProtection="1">
      <alignment horizontal="center" vertical="center" wrapText="1" readingOrder="1"/>
      <protection locked="0"/>
    </xf>
    <xf numFmtId="0" fontId="3" fillId="6" borderId="1" xfId="3" applyFont="1" applyFill="1" applyBorder="1" applyAlignment="1" applyProtection="1">
      <alignment horizontal="center" vertical="center" wrapText="1" readingOrder="1"/>
      <protection locked="0"/>
    </xf>
    <xf numFmtId="0" fontId="9" fillId="6" borderId="1" xfId="3" applyFont="1" applyFill="1" applyBorder="1" applyAlignment="1" applyProtection="1">
      <alignment horizontal="center" vertical="center" wrapText="1" readingOrder="1"/>
      <protection locked="0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164" fontId="11" fillId="6" borderId="1" xfId="3" applyNumberFormat="1" applyFont="1" applyFill="1" applyBorder="1" applyAlignment="1" applyProtection="1">
      <alignment horizontal="center" vertical="center" wrapText="1" readingOrder="1"/>
      <protection locked="0"/>
    </xf>
    <xf numFmtId="164" fontId="19" fillId="6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0" xfId="3" applyFont="1"/>
    <xf numFmtId="166" fontId="1" fillId="0" borderId="0" xfId="3" applyNumberFormat="1" applyFont="1" applyAlignment="1">
      <alignment horizontal="center"/>
    </xf>
    <xf numFmtId="166" fontId="9" fillId="0" borderId="0" xfId="3" applyNumberFormat="1" applyFont="1" applyAlignment="1">
      <alignment horizontal="center"/>
    </xf>
    <xf numFmtId="164" fontId="10" fillId="0" borderId="1" xfId="3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0" fontId="1" fillId="0" borderId="0" xfId="3" applyFont="1" applyAlignment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 readingOrder="1"/>
      <protection locked="0"/>
    </xf>
    <xf numFmtId="0" fontId="1" fillId="0" borderId="1" xfId="3" applyFont="1" applyFill="1" applyBorder="1" applyAlignment="1" applyProtection="1">
      <alignment horizontal="left" vertical="center" wrapText="1" readingOrder="1"/>
      <protection locked="0"/>
    </xf>
    <xf numFmtId="9" fontId="15" fillId="9" borderId="1" xfId="4" applyFont="1" applyFill="1" applyBorder="1" applyAlignment="1" applyProtection="1">
      <alignment horizontal="center" vertical="center" wrapText="1" readingOrder="1"/>
      <protection locked="0"/>
    </xf>
    <xf numFmtId="0" fontId="11" fillId="0" borderId="1" xfId="3" applyFont="1" applyBorder="1" applyAlignment="1" applyProtection="1">
      <alignment horizontal="center" vertical="center" wrapText="1" readingOrder="1"/>
      <protection locked="0"/>
    </xf>
    <xf numFmtId="0" fontId="12" fillId="0" borderId="0" xfId="3" applyFont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 applyProtection="1">
      <alignment horizontal="left" vertical="center" wrapText="1" readingOrder="1"/>
      <protection locked="0"/>
    </xf>
    <xf numFmtId="0" fontId="11" fillId="0" borderId="3" xfId="3" applyFont="1" applyBorder="1" applyAlignment="1" applyProtection="1">
      <alignment vertical="center" wrapText="1" readingOrder="1"/>
      <protection locked="0"/>
    </xf>
    <xf numFmtId="0" fontId="3" fillId="0" borderId="3" xfId="3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Fill="1" applyBorder="1" applyAlignment="1" applyProtection="1">
      <alignment horizontal="left" vertical="center" wrapText="1" readingOrder="1"/>
      <protection locked="0"/>
    </xf>
    <xf numFmtId="0" fontId="3" fillId="6" borderId="1" xfId="3" applyFont="1" applyFill="1" applyBorder="1" applyAlignment="1" applyProtection="1">
      <alignment horizontal="center" vertical="center" textRotation="90" wrapText="1" readingOrder="1"/>
      <protection locked="0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3" applyFont="1" applyAlignment="1">
      <alignment wrapText="1"/>
    </xf>
    <xf numFmtId="0" fontId="3" fillId="7" borderId="1" xfId="3" applyFont="1" applyFill="1" applyBorder="1" applyAlignment="1" applyProtection="1">
      <alignment horizontal="left" vertical="center" wrapText="1" readingOrder="1"/>
      <protection locked="0"/>
    </xf>
    <xf numFmtId="0" fontId="3" fillId="7" borderId="1" xfId="3" applyFont="1" applyFill="1" applyBorder="1" applyAlignment="1" applyProtection="1">
      <alignment horizontal="center" vertical="center" wrapText="1" readingOrder="1"/>
      <protection locked="0"/>
    </xf>
    <xf numFmtId="0" fontId="11" fillId="7" borderId="1" xfId="3" applyFont="1" applyFill="1" applyBorder="1" applyAlignment="1" applyProtection="1">
      <alignment horizontal="center" vertical="center" wrapText="1" readingOrder="1"/>
      <protection locked="0"/>
    </xf>
    <xf numFmtId="0" fontId="3" fillId="7" borderId="1" xfId="3" applyFont="1" applyFill="1" applyBorder="1" applyAlignment="1" applyProtection="1">
      <alignment horizontal="center" vertical="center" wrapText="1" readingOrder="1"/>
      <protection locked="0"/>
    </xf>
    <xf numFmtId="0" fontId="11" fillId="2" borderId="1" xfId="3" applyFont="1" applyFill="1" applyBorder="1" applyAlignment="1" applyProtection="1">
      <alignment horizontal="center" vertical="center" wrapText="1" readingOrder="1"/>
      <protection locked="0"/>
    </xf>
    <xf numFmtId="0" fontId="14" fillId="4" borderId="1" xfId="3" applyFont="1" applyFill="1" applyBorder="1" applyAlignment="1" applyProtection="1">
      <alignment horizontal="center" vertical="center" wrapText="1" readingOrder="1"/>
      <protection locked="0"/>
    </xf>
    <xf numFmtId="0" fontId="3" fillId="0" borderId="0" xfId="3" applyFont="1" applyBorder="1" applyAlignment="1" applyProtection="1">
      <alignment horizontal="right" vertical="center" wrapText="1" readingOrder="1"/>
      <protection locked="0"/>
    </xf>
    <xf numFmtId="0" fontId="9" fillId="3" borderId="1" xfId="3" applyFont="1" applyFill="1" applyBorder="1" applyAlignment="1" applyProtection="1">
      <alignment horizontal="center" vertical="center" wrapText="1" readingOrder="1"/>
      <protection locked="0"/>
    </xf>
    <xf numFmtId="0" fontId="15" fillId="11" borderId="0" xfId="3" applyFont="1" applyFill="1"/>
    <xf numFmtId="166" fontId="11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9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9" fillId="8" borderId="1" xfId="5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top"/>
    </xf>
    <xf numFmtId="0" fontId="1" fillId="0" borderId="0" xfId="3" applyFont="1" applyAlignment="1">
      <alignment horizontal="left" vertical="top"/>
    </xf>
    <xf numFmtId="0" fontId="14" fillId="0" borderId="1" xfId="3" applyFont="1" applyFill="1" applyBorder="1" applyAlignment="1" applyProtection="1">
      <alignment vertical="center" wrapText="1" readingOrder="1"/>
      <protection locked="0"/>
    </xf>
    <xf numFmtId="166" fontId="11" fillId="11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1" xfId="3" applyFont="1" applyBorder="1" applyAlignment="1" applyProtection="1">
      <alignment vertical="center" wrapText="1" readingOrder="1"/>
      <protection locked="0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 applyProtection="1">
      <alignment horizontal="left" vertical="center" wrapText="1" readingOrder="1"/>
      <protection locked="0"/>
    </xf>
    <xf numFmtId="0" fontId="3" fillId="0" borderId="0" xfId="3" applyFont="1" applyAlignment="1" applyProtection="1">
      <alignment horizontal="right" vertical="center" wrapText="1" readingOrder="1"/>
      <protection locked="0"/>
    </xf>
    <xf numFmtId="0" fontId="1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Alignment="1" applyProtection="1">
      <alignment horizontal="right" vertical="center" wrapText="1" readingOrder="1"/>
      <protection locked="0"/>
    </xf>
    <xf numFmtId="0" fontId="12" fillId="0" borderId="0" xfId="0" applyFont="1" applyAlignment="1" applyProtection="1">
      <alignment horizontal="center" vertical="center" wrapText="1" readingOrder="1"/>
      <protection locked="0"/>
    </xf>
    <xf numFmtId="0" fontId="1" fillId="4" borderId="1" xfId="0" applyFont="1" applyFill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66" fontId="9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165" fontId="9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66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1" xfId="0" applyNumberFormat="1" applyFont="1" applyBorder="1" applyAlignment="1" applyProtection="1">
      <alignment horizontal="center" vertical="center" wrapText="1" readingOrder="1"/>
      <protection locked="0"/>
    </xf>
    <xf numFmtId="9" fontId="12" fillId="10" borderId="1" xfId="2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vertical="center" wrapText="1" readingOrder="1"/>
      <protection locked="0"/>
    </xf>
    <xf numFmtId="166" fontId="1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5" borderId="1" xfId="0" applyFont="1" applyFill="1" applyBorder="1" applyAlignment="1" applyProtection="1">
      <alignment horizontal="center" vertical="center" wrapText="1" readingOrder="1"/>
      <protection locked="0"/>
    </xf>
    <xf numFmtId="0" fontId="11" fillId="5" borderId="1" xfId="0" applyFont="1" applyFill="1" applyBorder="1" applyAlignment="1" applyProtection="1">
      <alignment vertical="center" wrapText="1" readingOrder="1"/>
      <protection locked="0"/>
    </xf>
    <xf numFmtId="166" fontId="1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5" borderId="1" xfId="0" applyFont="1" applyFill="1" applyBorder="1" applyAlignment="1" applyProtection="1">
      <alignment horizontal="center" vertical="center" wrapText="1" readingOrder="1"/>
      <protection locked="0"/>
    </xf>
    <xf numFmtId="0" fontId="6" fillId="9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 applyProtection="1">
      <alignment horizontal="right" vertical="center" wrapText="1" readingOrder="1"/>
      <protection locked="0"/>
    </xf>
    <xf numFmtId="0" fontId="8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 readingOrder="1"/>
      <protection locked="0"/>
    </xf>
    <xf numFmtId="0" fontId="11" fillId="6" borderId="1" xfId="0" applyFont="1" applyFill="1" applyBorder="1" applyAlignment="1" applyProtection="1">
      <alignment vertical="center" wrapText="1" readingOrder="1"/>
      <protection locked="0"/>
    </xf>
    <xf numFmtId="166" fontId="11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7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left"/>
    </xf>
    <xf numFmtId="164" fontId="11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11" fillId="7" borderId="1" xfId="3" applyFont="1" applyFill="1" applyBorder="1" applyAlignment="1" applyProtection="1">
      <alignment horizontal="center" vertical="center" wrapText="1" readingOrder="1"/>
      <protection locked="0"/>
    </xf>
    <xf numFmtId="0" fontId="11" fillId="6" borderId="1" xfId="3" applyFont="1" applyFill="1" applyBorder="1" applyAlignment="1" applyProtection="1">
      <alignment horizontal="center" vertical="center" wrapText="1" readingOrder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 applyProtection="1">
      <alignment horizontal="center" vertical="center" wrapText="1" readingOrder="1"/>
      <protection locked="0"/>
    </xf>
    <xf numFmtId="49" fontId="3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3" applyFont="1" applyBorder="1" applyAlignment="1" applyProtection="1">
      <alignment horizontal="center" vertical="center" wrapText="1" readingOrder="1"/>
      <protection locked="0"/>
    </xf>
    <xf numFmtId="0" fontId="3" fillId="2" borderId="1" xfId="3" applyFont="1" applyFill="1" applyBorder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>
      <alignment horizontal="center" vertical="center" wrapText="1"/>
    </xf>
    <xf numFmtId="0" fontId="3" fillId="7" borderId="1" xfId="3" applyFont="1" applyFill="1" applyBorder="1" applyAlignment="1" applyProtection="1">
      <alignment horizontal="center" vertical="center" wrapText="1" readingOrder="1"/>
      <protection locked="0"/>
    </xf>
    <xf numFmtId="0" fontId="1" fillId="3" borderId="1" xfId="3" applyFont="1" applyFill="1" applyBorder="1" applyAlignment="1" applyProtection="1">
      <alignment horizontal="center" vertical="center" wrapText="1" readingOrder="1"/>
      <protection locked="0"/>
    </xf>
    <xf numFmtId="0" fontId="3" fillId="3" borderId="1" xfId="3" applyFont="1" applyFill="1" applyBorder="1" applyAlignment="1" applyProtection="1">
      <alignment horizontal="center" vertical="center" wrapText="1" readingOrder="1"/>
      <protection locked="0"/>
    </xf>
    <xf numFmtId="0" fontId="1" fillId="3" borderId="1" xfId="3" applyFont="1" applyFill="1" applyBorder="1" applyAlignment="1">
      <alignment horizontal="center" vertical="center" wrapText="1"/>
    </xf>
    <xf numFmtId="49" fontId="3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3" applyFont="1" applyAlignment="1">
      <alignment horizontal="left" wrapText="1"/>
    </xf>
    <xf numFmtId="0" fontId="7" fillId="0" borderId="0" xfId="3" applyFont="1" applyAlignment="1">
      <alignment horizontal="left" wrapText="1"/>
    </xf>
    <xf numFmtId="49" fontId="11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4" fillId="3" borderId="1" xfId="3" applyFont="1" applyFill="1" applyBorder="1" applyAlignment="1" applyProtection="1">
      <alignment horizontal="center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center" wrapText="1" readingOrder="1"/>
      <protection locked="0"/>
    </xf>
    <xf numFmtId="166" fontId="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3" fillId="0" borderId="0" xfId="0" applyFont="1" applyBorder="1" applyAlignment="1" applyProtection="1">
      <alignment horizontal="right" vertical="center" wrapText="1" readingOrder="1"/>
      <protection locked="0"/>
    </xf>
    <xf numFmtId="0" fontId="11" fillId="6" borderId="1" xfId="0" applyFont="1" applyFill="1" applyBorder="1" applyAlignment="1" applyProtection="1">
      <alignment horizontal="center" vertical="center" wrapText="1" readingOrder="1"/>
      <protection locked="0"/>
    </xf>
    <xf numFmtId="0" fontId="14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65" fontId="1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9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9" fontId="15" fillId="9" borderId="1" xfId="4" applyFont="1" applyFill="1" applyBorder="1" applyAlignment="1">
      <alignment wrapText="1" readingOrder="1"/>
    </xf>
    <xf numFmtId="0" fontId="1" fillId="0" borderId="0" xfId="3" applyFont="1" applyAlignment="1">
      <alignment wrapText="1" readingOrder="1"/>
    </xf>
    <xf numFmtId="0" fontId="1" fillId="3" borderId="1" xfId="3" applyFont="1" applyFill="1" applyBorder="1" applyAlignment="1">
      <alignment horizontal="left" vertical="center" wrapText="1" readingOrder="1"/>
    </xf>
    <xf numFmtId="0" fontId="1" fillId="3" borderId="1" xfId="3" applyFont="1" applyFill="1" applyBorder="1" applyAlignment="1">
      <alignment horizontal="center" vertical="center" wrapText="1" readingOrder="1"/>
    </xf>
    <xf numFmtId="0" fontId="7" fillId="0" borderId="0" xfId="3" applyFont="1" applyAlignment="1">
      <alignment wrapText="1" readingOrder="1"/>
    </xf>
    <xf numFmtId="0" fontId="1" fillId="0" borderId="1" xfId="3" applyFont="1" applyBorder="1" applyAlignment="1">
      <alignment horizontal="left" vertical="center" wrapText="1" readingOrder="1"/>
    </xf>
    <xf numFmtId="0" fontId="1" fillId="0" borderId="1" xfId="3" applyFont="1" applyBorder="1" applyAlignment="1">
      <alignment horizontal="center" wrapText="1" readingOrder="1"/>
    </xf>
    <xf numFmtId="0" fontId="8" fillId="9" borderId="1" xfId="3" applyFont="1" applyFill="1" applyBorder="1" applyAlignment="1">
      <alignment horizontal="left" wrapText="1" readingOrder="1"/>
    </xf>
    <xf numFmtId="0" fontId="1" fillId="9" borderId="1" xfId="3" applyFont="1" applyFill="1" applyBorder="1" applyAlignment="1">
      <alignment horizontal="left" wrapText="1" readingOrder="1"/>
    </xf>
    <xf numFmtId="0" fontId="1" fillId="9" borderId="1" xfId="3" applyFont="1" applyFill="1" applyBorder="1" applyAlignment="1">
      <alignment horizontal="center" wrapText="1" readingOrder="1"/>
    </xf>
    <xf numFmtId="0" fontId="1" fillId="9" borderId="1" xfId="3" applyFont="1" applyFill="1" applyBorder="1" applyAlignment="1">
      <alignment horizontal="center" vertical="center" wrapText="1" readingOrder="1"/>
    </xf>
    <xf numFmtId="0" fontId="1" fillId="0" borderId="1" xfId="3" applyFont="1" applyFill="1" applyBorder="1" applyAlignment="1">
      <alignment horizontal="center" vertical="center" wrapText="1" readingOrder="1"/>
    </xf>
    <xf numFmtId="0" fontId="1" fillId="9" borderId="1" xfId="3" applyFont="1" applyFill="1" applyBorder="1" applyAlignment="1">
      <alignment wrapText="1" readingOrder="1"/>
    </xf>
    <xf numFmtId="0" fontId="8" fillId="9" borderId="1" xfId="3" applyFont="1" applyFill="1" applyBorder="1" applyAlignment="1">
      <alignment wrapText="1" readingOrder="1"/>
    </xf>
    <xf numFmtId="0" fontId="8" fillId="9" borderId="1" xfId="3" applyFont="1" applyFill="1" applyBorder="1" applyAlignment="1">
      <alignment horizontal="left" vertical="center" wrapText="1" readingOrder="1"/>
    </xf>
    <xf numFmtId="0" fontId="1" fillId="9" borderId="1" xfId="3" applyFont="1" applyFill="1" applyBorder="1" applyAlignment="1">
      <alignment horizontal="left" vertical="center" wrapText="1" readingOrder="1"/>
    </xf>
    <xf numFmtId="0" fontId="1" fillId="3" borderId="1" xfId="3" applyFont="1" applyFill="1" applyBorder="1" applyAlignment="1">
      <alignment horizontal="center" wrapText="1" readingOrder="1"/>
    </xf>
    <xf numFmtId="49" fontId="1" fillId="5" borderId="1" xfId="3" applyNumberFormat="1" applyFont="1" applyFill="1" applyBorder="1" applyAlignment="1">
      <alignment horizontal="center" vertical="center" wrapText="1" readingOrder="1"/>
    </xf>
    <xf numFmtId="0" fontId="1" fillId="5" borderId="1" xfId="3" applyFont="1" applyFill="1" applyBorder="1" applyAlignment="1">
      <alignment horizontal="center" vertical="center" wrapText="1" readingOrder="1"/>
    </xf>
    <xf numFmtId="0" fontId="14" fillId="3" borderId="1" xfId="3" applyFont="1" applyFill="1" applyBorder="1" applyAlignment="1">
      <alignment wrapText="1" readingOrder="1"/>
    </xf>
    <xf numFmtId="166" fontId="1" fillId="3" borderId="1" xfId="3" applyNumberFormat="1" applyFont="1" applyFill="1" applyBorder="1" applyAlignment="1">
      <alignment horizontal="center" wrapText="1" readingOrder="1"/>
    </xf>
    <xf numFmtId="0" fontId="1" fillId="5" borderId="1" xfId="3" applyFont="1" applyFill="1" applyBorder="1" applyAlignment="1">
      <alignment horizontal="center" wrapText="1" readingOrder="1"/>
    </xf>
    <xf numFmtId="0" fontId="14" fillId="5" borderId="1" xfId="3" applyFont="1" applyFill="1" applyBorder="1" applyAlignment="1">
      <alignment wrapText="1" readingOrder="1"/>
    </xf>
    <xf numFmtId="166" fontId="1" fillId="5" borderId="1" xfId="3" applyNumberFormat="1" applyFont="1" applyFill="1" applyBorder="1" applyAlignment="1">
      <alignment horizontal="center" wrapText="1" readingOrder="1"/>
    </xf>
    <xf numFmtId="0" fontId="1" fillId="7" borderId="1" xfId="3" applyFont="1" applyFill="1" applyBorder="1" applyAlignment="1">
      <alignment horizontal="center" vertical="center" wrapText="1" readingOrder="1"/>
    </xf>
    <xf numFmtId="9" fontId="15" fillId="9" borderId="1" xfId="2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9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9" fontId="15" fillId="9" borderId="1" xfId="4" applyFont="1" applyFill="1" applyBorder="1" applyAlignment="1">
      <alignment wrapText="1"/>
    </xf>
    <xf numFmtId="0" fontId="1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 wrapText="1"/>
    </xf>
    <xf numFmtId="0" fontId="1" fillId="9" borderId="1" xfId="3" applyFont="1" applyFill="1" applyBorder="1" applyAlignment="1">
      <alignment horizontal="center" vertical="center" wrapText="1"/>
    </xf>
    <xf numFmtId="167" fontId="1" fillId="10" borderId="0" xfId="4" applyNumberFormat="1" applyFont="1" applyFill="1" applyAlignment="1">
      <alignment horizontal="center" vertical="center" wrapText="1"/>
    </xf>
    <xf numFmtId="49" fontId="1" fillId="5" borderId="1" xfId="3" applyNumberFormat="1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7" borderId="1" xfId="3" applyFont="1" applyFill="1" applyBorder="1" applyAlignment="1">
      <alignment horizontal="center" vertical="center" wrapText="1"/>
    </xf>
    <xf numFmtId="0" fontId="1" fillId="11" borderId="1" xfId="3" applyFont="1" applyFill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49" fontId="14" fillId="5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7" fontId="1" fillId="10" borderId="0" xfId="4" applyNumberFormat="1" applyFont="1" applyFill="1" applyAlignment="1">
      <alignment wrapText="1"/>
    </xf>
    <xf numFmtId="0" fontId="1" fillId="11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66" fontId="23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3" borderId="1" xfId="0" applyFont="1" applyFill="1" applyBorder="1" applyAlignment="1" applyProtection="1">
      <alignment horizontal="center" vertical="center" wrapText="1" readingOrder="1"/>
      <protection locked="0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/>
    </xf>
    <xf numFmtId="0" fontId="22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3" applyFont="1" applyBorder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>
      <alignment horizontal="center" vertical="center" wrapText="1"/>
    </xf>
    <xf numFmtId="166" fontId="1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9" fillId="8" borderId="16" xfId="0" applyNumberFormat="1" applyFont="1" applyFill="1" applyBorder="1" applyAlignment="1" applyProtection="1">
      <alignment horizontal="center" vertical="center" wrapText="1" readingOrder="1"/>
      <protection locked="0"/>
    </xf>
    <xf numFmtId="166" fontId="9" fillId="8" borderId="17" xfId="0" applyNumberFormat="1" applyFont="1" applyFill="1" applyBorder="1" applyAlignment="1" applyProtection="1">
      <alignment horizontal="center" vertical="center" wrapText="1" readingOrder="1"/>
      <protection locked="0"/>
    </xf>
    <xf numFmtId="166" fontId="9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 applyProtection="1">
      <alignment horizontal="center" vertical="center" wrapText="1" readingOrder="1"/>
      <protection locked="0"/>
    </xf>
    <xf numFmtId="49" fontId="3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 applyProtection="1">
      <alignment horizontal="center" vertical="center" wrapText="1" readingOrder="1"/>
      <protection locked="0"/>
    </xf>
    <xf numFmtId="49" fontId="3" fillId="5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3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3" applyFont="1" applyBorder="1" applyAlignment="1" applyProtection="1">
      <alignment horizontal="center" vertical="center" wrapText="1" readingOrder="1"/>
      <protection locked="0"/>
    </xf>
    <xf numFmtId="0" fontId="3" fillId="7" borderId="1" xfId="3" applyFont="1" applyFill="1" applyBorder="1" applyAlignment="1" applyProtection="1">
      <alignment horizontal="left" vertical="center" wrapText="1" readingOrder="1"/>
      <protection locked="0"/>
    </xf>
    <xf numFmtId="0" fontId="3" fillId="2" borderId="1" xfId="3" applyFont="1" applyFill="1" applyBorder="1" applyAlignment="1" applyProtection="1">
      <alignment horizontal="center" vertical="center" wrapText="1" readingOrder="1"/>
      <protection locked="0"/>
    </xf>
    <xf numFmtId="1" fontId="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>
      <alignment horizontal="center" vertical="center" wrapText="1" readingOrder="1"/>
    </xf>
    <xf numFmtId="0" fontId="1" fillId="3" borderId="1" xfId="3" applyFont="1" applyFill="1" applyBorder="1" applyAlignment="1" applyProtection="1">
      <alignment horizontal="center" vertical="center" wrapText="1" readingOrder="1"/>
      <protection locked="0"/>
    </xf>
    <xf numFmtId="0" fontId="3" fillId="3" borderId="1" xfId="3" applyFont="1" applyFill="1" applyBorder="1" applyAlignment="1" applyProtection="1">
      <alignment horizontal="center" vertical="center" wrapText="1" readingOrder="1"/>
      <protection locked="0"/>
    </xf>
    <xf numFmtId="0" fontId="3" fillId="0" borderId="1" xfId="3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3" applyFont="1" applyBorder="1" applyAlignment="1" applyProtection="1">
      <alignment horizontal="center" vertical="center" wrapText="1" readingOrder="1"/>
      <protection locked="0"/>
    </xf>
    <xf numFmtId="0" fontId="1" fillId="3" borderId="1" xfId="3" applyFont="1" applyFill="1" applyBorder="1" applyAlignment="1" applyProtection="1">
      <alignment horizontal="center" vertical="center" wrapText="1" readingOrder="1"/>
      <protection locked="0"/>
    </xf>
    <xf numFmtId="0" fontId="1" fillId="3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49" fontId="11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4" fillId="3" borderId="1" xfId="3" applyFont="1" applyFill="1" applyBorder="1" applyAlignment="1" applyProtection="1">
      <alignment horizontal="center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center" wrapText="1" readingOrder="1"/>
      <protection locked="0"/>
    </xf>
    <xf numFmtId="0" fontId="14" fillId="3" borderId="1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 readingOrder="1"/>
      <protection locked="0"/>
    </xf>
    <xf numFmtId="0" fontId="19" fillId="0" borderId="1" xfId="3" applyFont="1" applyBorder="1" applyAlignment="1" applyProtection="1">
      <alignment vertical="center" wrapText="1" readingOrder="1"/>
      <protection locked="0"/>
    </xf>
    <xf numFmtId="0" fontId="1" fillId="0" borderId="4" xfId="3" applyFont="1" applyBorder="1" applyAlignment="1">
      <alignment vertical="center" wrapText="1"/>
    </xf>
    <xf numFmtId="0" fontId="1" fillId="0" borderId="4" xfId="3" applyFont="1" applyBorder="1" applyAlignment="1" applyProtection="1">
      <alignment vertical="center" wrapText="1" readingOrder="1"/>
      <protection locked="0"/>
    </xf>
    <xf numFmtId="0" fontId="1" fillId="0" borderId="4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wrapText="1"/>
    </xf>
    <xf numFmtId="0" fontId="9" fillId="11" borderId="1" xfId="0" applyFont="1" applyFill="1" applyBorder="1" applyAlignment="1" applyProtection="1">
      <alignment horizontal="center" vertical="center" wrapText="1" readingOrder="1"/>
      <protection locked="0"/>
    </xf>
    <xf numFmtId="0" fontId="9" fillId="11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11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0" fontId="1" fillId="0" borderId="0" xfId="3" applyNumberFormat="1" applyFont="1" applyAlignment="1">
      <alignment wrapText="1" readingOrder="1"/>
    </xf>
    <xf numFmtId="0" fontId="9" fillId="3" borderId="1" xfId="3" applyFont="1" applyFill="1" applyBorder="1" applyAlignment="1" applyProtection="1">
      <alignment horizontal="left" vertical="center" wrapText="1" readingOrder="1"/>
      <protection locked="0"/>
    </xf>
    <xf numFmtId="0" fontId="9" fillId="0" borderId="3" xfId="3" applyFont="1" applyBorder="1" applyAlignment="1" applyProtection="1">
      <alignment horizontal="right" vertical="center" wrapText="1" readingOrder="1"/>
      <protection locked="0"/>
    </xf>
    <xf numFmtId="0" fontId="19" fillId="0" borderId="3" xfId="3" applyFont="1" applyBorder="1" applyAlignment="1" applyProtection="1">
      <alignment vertical="center" wrapText="1" readingOrder="1"/>
      <protection locked="0"/>
    </xf>
    <xf numFmtId="0" fontId="9" fillId="6" borderId="1" xfId="3" applyFont="1" applyFill="1" applyBorder="1" applyAlignment="1" applyProtection="1">
      <alignment horizontal="center" vertical="center" textRotation="90" wrapText="1" readingOrder="1"/>
      <protection locked="0"/>
    </xf>
    <xf numFmtId="0" fontId="9" fillId="7" borderId="1" xfId="3" applyFont="1" applyFill="1" applyBorder="1" applyAlignment="1" applyProtection="1">
      <alignment horizontal="center" vertical="center" wrapText="1" readingOrder="1"/>
      <protection locked="0"/>
    </xf>
    <xf numFmtId="49" fontId="9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9" fillId="4" borderId="1" xfId="3" applyFont="1" applyFill="1" applyBorder="1" applyAlignment="1" applyProtection="1">
      <alignment horizontal="center" vertical="center" wrapText="1" readingOrder="1"/>
      <protection locked="0"/>
    </xf>
    <xf numFmtId="9" fontId="9" fillId="9" borderId="1" xfId="4" applyFont="1" applyFill="1" applyBorder="1" applyAlignment="1">
      <alignment wrapText="1"/>
    </xf>
    <xf numFmtId="0" fontId="9" fillId="0" borderId="0" xfId="3" applyFont="1" applyAlignment="1">
      <alignment wrapText="1"/>
    </xf>
    <xf numFmtId="0" fontId="9" fillId="3" borderId="1" xfId="3" applyFont="1" applyFill="1" applyBorder="1" applyAlignment="1">
      <alignment horizontal="left" vertical="center" wrapText="1"/>
    </xf>
    <xf numFmtId="0" fontId="10" fillId="0" borderId="0" xfId="3" applyFont="1" applyAlignment="1">
      <alignment wrapText="1"/>
    </xf>
    <xf numFmtId="0" fontId="9" fillId="0" borderId="1" xfId="3" applyFont="1" applyBorder="1" applyAlignment="1" applyProtection="1">
      <alignment horizontal="center" vertical="center" wrapText="1" readingOrder="1"/>
      <protection locked="0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9" borderId="1" xfId="3" applyFont="1" applyFill="1" applyBorder="1" applyAlignment="1">
      <alignment wrapText="1"/>
    </xf>
    <xf numFmtId="0" fontId="9" fillId="9" borderId="1" xfId="3" applyFont="1" applyFill="1" applyBorder="1" applyAlignment="1">
      <alignment horizontal="left" vertical="center" wrapText="1"/>
    </xf>
    <xf numFmtId="0" fontId="10" fillId="9" borderId="1" xfId="3" applyFont="1" applyFill="1" applyBorder="1" applyAlignment="1">
      <alignment horizontal="left" vertical="center" wrapText="1"/>
    </xf>
    <xf numFmtId="165" fontId="9" fillId="9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9" fillId="9" borderId="1" xfId="3" applyFont="1" applyFill="1" applyBorder="1" applyAlignment="1">
      <alignment horizontal="center" vertical="center" wrapText="1"/>
    </xf>
    <xf numFmtId="9" fontId="19" fillId="10" borderId="1" xfId="4" applyFont="1" applyFill="1" applyBorder="1" applyAlignment="1" applyProtection="1">
      <alignment horizontal="center" vertical="center" wrapText="1" readingOrder="1"/>
      <protection locked="0"/>
    </xf>
    <xf numFmtId="0" fontId="9" fillId="0" borderId="1" xfId="3" applyFont="1" applyBorder="1" applyAlignment="1" applyProtection="1">
      <alignment horizontal="left" vertical="top" wrapText="1" readingOrder="1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11" borderId="1" xfId="3" applyFont="1" applyFill="1" applyBorder="1" applyAlignment="1" applyProtection="1">
      <alignment horizontal="left" vertical="center" wrapText="1" readingOrder="1"/>
      <protection locked="0"/>
    </xf>
    <xf numFmtId="0" fontId="9" fillId="13" borderId="1" xfId="3" applyFont="1" applyFill="1" applyBorder="1" applyAlignment="1" applyProtection="1">
      <alignment horizontal="center" vertical="center" wrapText="1" readingOrder="1"/>
      <protection locked="0"/>
    </xf>
    <xf numFmtId="0" fontId="9" fillId="13" borderId="1" xfId="0" applyFont="1" applyFill="1" applyBorder="1" applyAlignment="1">
      <alignment horizontal="left" vertical="center" wrapText="1"/>
    </xf>
    <xf numFmtId="0" fontId="9" fillId="13" borderId="1" xfId="0" applyFont="1" applyFill="1" applyBorder="1" applyAlignment="1" applyProtection="1">
      <alignment horizontal="left" vertical="center" wrapText="1" readingOrder="1"/>
      <protection locked="0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3" applyFont="1" applyFill="1" applyBorder="1" applyAlignment="1">
      <alignment horizontal="center" vertical="center" wrapText="1"/>
    </xf>
    <xf numFmtId="49" fontId="9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3" applyFont="1" applyFill="1" applyBorder="1" applyAlignment="1" applyProtection="1">
      <alignment horizontal="center" vertical="center" wrapText="1" readingOrder="1"/>
      <protection locked="0"/>
    </xf>
    <xf numFmtId="0" fontId="19" fillId="2" borderId="1" xfId="3" applyFont="1" applyFill="1" applyBorder="1" applyAlignment="1" applyProtection="1">
      <alignment vertical="center" wrapText="1" readingOrder="1"/>
      <protection locked="0"/>
    </xf>
    <xf numFmtId="0" fontId="19" fillId="3" borderId="1" xfId="3" applyFont="1" applyFill="1" applyBorder="1" applyAlignment="1" applyProtection="1">
      <alignment horizontal="center" vertical="center" wrapText="1" readingOrder="1"/>
      <protection locked="0"/>
    </xf>
    <xf numFmtId="0" fontId="19" fillId="3" borderId="1" xfId="3" applyFont="1" applyFill="1" applyBorder="1" applyAlignment="1">
      <alignment horizontal="left" vertical="center" wrapText="1"/>
    </xf>
    <xf numFmtId="0" fontId="19" fillId="3" borderId="1" xfId="3" applyFont="1" applyFill="1" applyBorder="1" applyAlignment="1">
      <alignment horizontal="center" vertical="center" wrapText="1"/>
    </xf>
    <xf numFmtId="1" fontId="9" fillId="0" borderId="1" xfId="3" applyNumberFormat="1" applyFont="1" applyBorder="1" applyAlignment="1" applyProtection="1">
      <alignment horizontal="center" vertical="center" wrapText="1" readingOrder="1"/>
      <protection locked="0"/>
    </xf>
    <xf numFmtId="166" fontId="19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5" borderId="1" xfId="3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 applyProtection="1">
      <alignment horizontal="center" vertical="center" wrapText="1" readingOrder="1"/>
      <protection locked="0"/>
    </xf>
    <xf numFmtId="0" fontId="19" fillId="5" borderId="1" xfId="3" applyFont="1" applyFill="1" applyBorder="1" applyAlignment="1" applyProtection="1">
      <alignment vertical="center" wrapText="1" readingOrder="1"/>
      <protection locked="0"/>
    </xf>
    <xf numFmtId="0" fontId="19" fillId="5" borderId="1" xfId="3" applyFont="1" applyFill="1" applyBorder="1" applyAlignment="1" applyProtection="1">
      <alignment horizontal="center" vertical="center" wrapText="1" readingOrder="1"/>
      <protection locked="0"/>
    </xf>
    <xf numFmtId="0" fontId="19" fillId="5" borderId="1" xfId="3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wrapText="1"/>
    </xf>
    <xf numFmtId="0" fontId="10" fillId="0" borderId="0" xfId="3" applyFont="1" applyAlignment="1">
      <alignment horizontal="left" wrapText="1"/>
    </xf>
    <xf numFmtId="0" fontId="19" fillId="3" borderId="1" xfId="3" applyFont="1" applyFill="1" applyBorder="1" applyAlignment="1" applyProtection="1">
      <alignment vertical="center" wrapText="1" readingOrder="1"/>
      <protection locked="0"/>
    </xf>
    <xf numFmtId="168" fontId="9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9" fillId="0" borderId="1" xfId="3" applyFont="1" applyBorder="1" applyAlignment="1">
      <alignment horizontal="center" vertical="center" wrapText="1" readingOrder="1"/>
    </xf>
    <xf numFmtId="165" fontId="9" fillId="0" borderId="1" xfId="3" applyNumberFormat="1" applyFont="1" applyBorder="1" applyAlignment="1" applyProtection="1">
      <alignment horizontal="center" vertical="center" wrapText="1" readingOrder="1"/>
      <protection locked="0"/>
    </xf>
    <xf numFmtId="165" fontId="9" fillId="9" borderId="1" xfId="3" applyNumberFormat="1" applyFont="1" applyFill="1" applyBorder="1" applyAlignment="1" applyProtection="1">
      <alignment horizontal="left" vertical="center" wrapText="1" readingOrder="1"/>
      <protection locked="0"/>
    </xf>
    <xf numFmtId="9" fontId="9" fillId="9" borderId="1" xfId="4" applyFont="1" applyFill="1" applyBorder="1" applyAlignment="1">
      <alignment horizontal="center" wrapText="1"/>
    </xf>
    <xf numFmtId="0" fontId="10" fillId="9" borderId="1" xfId="3" applyFont="1" applyFill="1" applyBorder="1" applyAlignment="1">
      <alignment wrapText="1"/>
    </xf>
    <xf numFmtId="168" fontId="9" fillId="0" borderId="1" xfId="3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horizontal="center" vertical="center" wrapText="1"/>
    </xf>
    <xf numFmtId="0" fontId="19" fillId="6" borderId="1" xfId="3" applyFont="1" applyFill="1" applyBorder="1" applyAlignment="1" applyProtection="1">
      <alignment vertical="center" wrapText="1" readingOrder="1"/>
      <protection locked="0"/>
    </xf>
    <xf numFmtId="0" fontId="19" fillId="7" borderId="1" xfId="3" applyFont="1" applyFill="1" applyBorder="1" applyAlignment="1" applyProtection="1">
      <alignment horizontal="center" vertical="center" wrapText="1" readingOrder="1"/>
      <protection locked="0"/>
    </xf>
    <xf numFmtId="0" fontId="19" fillId="7" borderId="1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left"/>
    </xf>
    <xf numFmtId="0" fontId="9" fillId="7" borderId="1" xfId="3" applyFont="1" applyFill="1" applyBorder="1" applyAlignment="1" applyProtection="1">
      <alignment horizontal="left" vertical="center" wrapText="1" readingOrder="1"/>
      <protection locked="0"/>
    </xf>
    <xf numFmtId="0" fontId="19" fillId="0" borderId="0" xfId="3" applyFont="1" applyAlignment="1">
      <alignment horizontal="center"/>
    </xf>
    <xf numFmtId="0" fontId="9" fillId="0" borderId="0" xfId="3" applyFont="1" applyAlignment="1"/>
    <xf numFmtId="9" fontId="9" fillId="0" borderId="0" xfId="4" applyFont="1" applyAlignment="1">
      <alignment horizontal="center"/>
    </xf>
    <xf numFmtId="0" fontId="9" fillId="0" borderId="0" xfId="3" applyFont="1" applyBorder="1" applyAlignment="1" applyProtection="1">
      <alignment horizontal="right" vertical="center" wrapText="1" readingOrder="1"/>
      <protection locked="0"/>
    </xf>
    <xf numFmtId="9" fontId="9" fillId="0" borderId="0" xfId="4" applyFont="1"/>
    <xf numFmtId="169" fontId="9" fillId="3" borderId="1" xfId="3" applyNumberFormat="1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 wrapText="1"/>
    </xf>
    <xf numFmtId="9" fontId="9" fillId="0" borderId="1" xfId="4" applyFont="1" applyFill="1" applyBorder="1" applyAlignment="1">
      <alignment wrapText="1"/>
    </xf>
    <xf numFmtId="0" fontId="9" fillId="0" borderId="0" xfId="3" applyFont="1" applyFill="1" applyAlignment="1">
      <alignment wrapText="1"/>
    </xf>
    <xf numFmtId="0" fontId="9" fillId="13" borderId="1" xfId="3" applyFont="1" applyFill="1" applyBorder="1" applyAlignment="1" applyProtection="1">
      <alignment horizontal="left" vertical="center" wrapText="1" readingOrder="1"/>
      <protection locked="0"/>
    </xf>
    <xf numFmtId="0" fontId="9" fillId="13" borderId="1" xfId="3" applyFont="1" applyFill="1" applyBorder="1" applyAlignment="1">
      <alignment horizontal="left" vertical="center" wrapText="1"/>
    </xf>
    <xf numFmtId="9" fontId="9" fillId="9" borderId="1" xfId="4" applyFont="1" applyFill="1" applyBorder="1" applyAlignment="1" applyProtection="1">
      <alignment horizontal="center" vertical="center" wrapText="1" readingOrder="1"/>
      <protection locked="0"/>
    </xf>
    <xf numFmtId="168" fontId="9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8" fontId="9" fillId="0" borderId="1" xfId="3" applyNumberFormat="1" applyFont="1" applyFill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 readingOrder="1"/>
      <protection locked="0"/>
    </xf>
    <xf numFmtId="9" fontId="9" fillId="15" borderId="1" xfId="4" applyFont="1" applyFill="1" applyBorder="1" applyAlignment="1">
      <alignment wrapText="1"/>
    </xf>
    <xf numFmtId="9" fontId="19" fillId="15" borderId="1" xfId="4" applyFont="1" applyFill="1" applyBorder="1" applyAlignment="1" applyProtection="1">
      <alignment horizontal="center" vertical="center" wrapText="1" readingOrder="1"/>
      <protection locked="0"/>
    </xf>
    <xf numFmtId="0" fontId="9" fillId="13" borderId="1" xfId="3" applyFont="1" applyFill="1" applyBorder="1" applyAlignment="1" applyProtection="1">
      <alignment vertical="center" wrapText="1" readingOrder="1"/>
      <protection locked="0"/>
    </xf>
    <xf numFmtId="0" fontId="9" fillId="13" borderId="1" xfId="3" applyFont="1" applyFill="1" applyBorder="1" applyAlignment="1">
      <alignment wrapText="1"/>
    </xf>
    <xf numFmtId="0" fontId="9" fillId="13" borderId="1" xfId="3" applyFont="1" applyFill="1" applyBorder="1" applyAlignment="1">
      <alignment horizontal="center" wrapText="1"/>
    </xf>
    <xf numFmtId="0" fontId="9" fillId="0" borderId="1" xfId="3" applyFont="1" applyFill="1" applyBorder="1" applyAlignment="1" applyProtection="1">
      <alignment vertical="center" wrapText="1" readingOrder="1"/>
      <protection locked="0"/>
    </xf>
    <xf numFmtId="0" fontId="19" fillId="16" borderId="1" xfId="3" applyFont="1" applyFill="1" applyBorder="1" applyAlignment="1">
      <alignment horizontal="center" vertical="center" wrapText="1"/>
    </xf>
    <xf numFmtId="9" fontId="9" fillId="16" borderId="1" xfId="4" applyFont="1" applyFill="1" applyBorder="1" applyAlignment="1">
      <alignment wrapText="1"/>
    </xf>
    <xf numFmtId="0" fontId="19" fillId="0" borderId="1" xfId="3" applyFont="1" applyFill="1" applyBorder="1" applyAlignment="1" applyProtection="1">
      <alignment vertical="center" wrapText="1" readingOrder="1"/>
      <protection locked="0"/>
    </xf>
    <xf numFmtId="0" fontId="19" fillId="5" borderId="1" xfId="3" applyFont="1" applyFill="1" applyBorder="1" applyAlignment="1">
      <alignment horizontal="center" wrapText="1"/>
    </xf>
    <xf numFmtId="0" fontId="9" fillId="3" borderId="1" xfId="3" applyFont="1" applyFill="1" applyBorder="1" applyAlignment="1">
      <alignment horizontal="center" wrapText="1"/>
    </xf>
    <xf numFmtId="168" fontId="9" fillId="0" borderId="1" xfId="3" applyNumberFormat="1" applyFont="1" applyBorder="1" applyAlignment="1">
      <alignment horizontal="center" wrapText="1"/>
    </xf>
    <xf numFmtId="0" fontId="19" fillId="7" borderId="1" xfId="3" applyFont="1" applyFill="1" applyBorder="1" applyAlignment="1">
      <alignment horizontal="center" wrapText="1"/>
    </xf>
    <xf numFmtId="0" fontId="9" fillId="7" borderId="1" xfId="3" applyFont="1" applyFill="1" applyBorder="1" applyAlignment="1" applyProtection="1">
      <alignment vertical="center" wrapText="1" readingOrder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166" fontId="9" fillId="14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1" xfId="0" applyFont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 readingOrder="1"/>
    </xf>
    <xf numFmtId="0" fontId="23" fillId="0" borderId="1" xfId="0" applyFont="1" applyFill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wrapText="1" readingOrder="1"/>
    </xf>
    <xf numFmtId="0" fontId="1" fillId="0" borderId="1" xfId="3" applyFont="1" applyBorder="1" applyAlignment="1">
      <alignment horizontal="center" vertical="center" wrapText="1"/>
    </xf>
    <xf numFmtId="166" fontId="9" fillId="3" borderId="1" xfId="3" applyNumberFormat="1" applyFont="1" applyFill="1" applyBorder="1" applyAlignment="1">
      <alignment horizontal="center" wrapText="1" readingOrder="1"/>
    </xf>
    <xf numFmtId="166" fontId="9" fillId="5" borderId="1" xfId="3" applyNumberFormat="1" applyFont="1" applyFill="1" applyBorder="1" applyAlignment="1">
      <alignment horizontal="center" wrapText="1" readingOrder="1"/>
    </xf>
    <xf numFmtId="164" fontId="9" fillId="0" borderId="1" xfId="3" applyNumberFormat="1" applyFont="1" applyBorder="1" applyAlignment="1" applyProtection="1">
      <alignment horizontal="center" vertical="center" wrapText="1" readingOrder="1"/>
      <protection locked="0"/>
    </xf>
    <xf numFmtId="166" fontId="9" fillId="12" borderId="18" xfId="5" applyNumberFormat="1" applyFont="1" applyFill="1" applyBorder="1" applyAlignment="1" applyProtection="1">
      <alignment horizontal="center" vertical="center" wrapText="1" readingOrder="1"/>
      <protection locked="0"/>
    </xf>
    <xf numFmtId="166" fontId="9" fillId="12" borderId="18" xfId="3" applyNumberFormat="1" applyFont="1" applyFill="1" applyBorder="1" applyAlignment="1" applyProtection="1">
      <alignment horizontal="center" vertical="center" wrapText="1" readingOrder="1"/>
      <protection locked="0"/>
    </xf>
    <xf numFmtId="166" fontId="19" fillId="11" borderId="1" xfId="3" applyNumberFormat="1" applyFont="1" applyFill="1" applyBorder="1" applyAlignment="1" applyProtection="1">
      <alignment horizontal="center" vertical="center" wrapText="1" readingOrder="1"/>
      <protection locked="0"/>
    </xf>
    <xf numFmtId="16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Font="1" applyFill="1" applyBorder="1" applyAlignment="1">
      <alignment wrapText="1"/>
    </xf>
    <xf numFmtId="0" fontId="3" fillId="7" borderId="1" xfId="0" applyFont="1" applyFill="1" applyBorder="1" applyAlignment="1" applyProtection="1">
      <alignment horizontal="left" vertical="center" wrapText="1" readingOrder="1"/>
      <protection locked="0"/>
    </xf>
    <xf numFmtId="0" fontId="18" fillId="0" borderId="1" xfId="0" applyFont="1" applyBorder="1" applyAlignment="1" applyProtection="1">
      <alignment horizontal="left" vertical="center" wrapText="1" readingOrder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7" borderId="1" xfId="0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Font="1" applyAlignment="1">
      <alignment horizontal="left"/>
    </xf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2" borderId="6" xfId="0" applyFont="1" applyFill="1" applyBorder="1" applyAlignment="1" applyProtection="1">
      <alignment horizontal="left" vertical="center" wrapText="1" readingOrder="1"/>
      <protection locked="0"/>
    </xf>
    <xf numFmtId="0" fontId="3" fillId="2" borderId="5" xfId="0" applyFont="1" applyFill="1" applyBorder="1" applyAlignment="1" applyProtection="1">
      <alignment horizontal="left" vertical="center" wrapText="1" readingOrder="1"/>
      <protection locked="0"/>
    </xf>
    <xf numFmtId="0" fontId="3" fillId="2" borderId="13" xfId="0" applyFont="1" applyFill="1" applyBorder="1" applyAlignment="1" applyProtection="1">
      <alignment horizontal="left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6" borderId="1" xfId="0" applyFont="1" applyFill="1" applyBorder="1" applyAlignment="1" applyProtection="1">
      <alignment horizontal="right" vertical="center" wrapText="1" readingOrder="1"/>
      <protection locked="0"/>
    </xf>
    <xf numFmtId="0" fontId="11" fillId="6" borderId="1" xfId="0" applyFont="1" applyFill="1" applyBorder="1" applyAlignment="1" applyProtection="1">
      <alignment horizontal="right" vertical="center" wrapText="1" readingOrder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4" fillId="0" borderId="1" xfId="0" applyFont="1" applyBorder="1" applyAlignment="1" applyProtection="1">
      <alignment horizontal="left" vertical="center" wrapText="1" readingOrder="1"/>
      <protection locked="0"/>
    </xf>
    <xf numFmtId="0" fontId="11" fillId="7" borderId="1" xfId="3" applyFont="1" applyFill="1" applyBorder="1" applyAlignment="1" applyProtection="1">
      <alignment horizontal="center" vertical="center" wrapText="1" readingOrder="1"/>
      <protection locked="0"/>
    </xf>
    <xf numFmtId="0" fontId="11" fillId="6" borderId="1" xfId="3" applyFont="1" applyFill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 readingOrder="1"/>
      <protection locked="0"/>
    </xf>
    <xf numFmtId="0" fontId="1" fillId="3" borderId="10" xfId="0" applyFont="1" applyFill="1" applyBorder="1" applyAlignment="1" applyProtection="1">
      <alignment horizontal="center" vertical="center" wrapText="1" readingOrder="1"/>
      <protection locked="0"/>
    </xf>
    <xf numFmtId="0" fontId="1" fillId="3" borderId="11" xfId="0" applyFont="1" applyFill="1" applyBorder="1" applyAlignment="1" applyProtection="1">
      <alignment horizontal="center" vertical="center" wrapText="1" readingOrder="1"/>
      <protection locked="0"/>
    </xf>
    <xf numFmtId="0" fontId="1" fillId="3" borderId="12" xfId="0" applyFont="1" applyFill="1" applyBorder="1" applyAlignment="1" applyProtection="1">
      <alignment horizontal="left" vertical="center" wrapText="1" readingOrder="1"/>
      <protection locked="0"/>
    </xf>
    <xf numFmtId="0" fontId="1" fillId="3" borderId="7" xfId="0" applyFont="1" applyFill="1" applyBorder="1" applyAlignment="1" applyProtection="1">
      <alignment horizontal="left" vertical="center" wrapText="1" readingOrder="1"/>
      <protection locked="0"/>
    </xf>
    <xf numFmtId="0" fontId="1" fillId="3" borderId="14" xfId="0" applyFont="1" applyFill="1" applyBorder="1" applyAlignment="1" applyProtection="1">
      <alignment horizontal="left" vertical="center" wrapText="1" readingOrder="1"/>
      <protection locked="0"/>
    </xf>
    <xf numFmtId="0" fontId="1" fillId="3" borderId="2" xfId="0" applyFont="1" applyFill="1" applyBorder="1" applyAlignment="1" applyProtection="1">
      <alignment horizontal="left" vertical="center" wrapText="1" readingOrder="1"/>
      <protection locked="0"/>
    </xf>
    <xf numFmtId="0" fontId="1" fillId="3" borderId="0" xfId="0" applyFont="1" applyFill="1" applyBorder="1" applyAlignment="1" applyProtection="1">
      <alignment horizontal="left" vertical="center" wrapText="1" readingOrder="1"/>
      <protection locked="0"/>
    </xf>
    <xf numFmtId="0" fontId="1" fillId="3" borderId="8" xfId="0" applyFont="1" applyFill="1" applyBorder="1" applyAlignment="1" applyProtection="1">
      <alignment horizontal="left" vertical="center" wrapText="1" readingOrder="1"/>
      <protection locked="0"/>
    </xf>
    <xf numFmtId="0" fontId="1" fillId="3" borderId="9" xfId="0" applyFont="1" applyFill="1" applyBorder="1" applyAlignment="1" applyProtection="1">
      <alignment horizontal="left" vertical="center" wrapText="1" readingOrder="1"/>
      <protection locked="0"/>
    </xf>
    <xf numFmtId="0" fontId="1" fillId="3" borderId="3" xfId="0" applyFont="1" applyFill="1" applyBorder="1" applyAlignment="1" applyProtection="1">
      <alignment horizontal="left" vertical="center" wrapText="1" readingOrder="1"/>
      <protection locked="0"/>
    </xf>
    <xf numFmtId="0" fontId="1" fillId="3" borderId="15" xfId="0" applyFont="1" applyFill="1" applyBorder="1" applyAlignment="1" applyProtection="1">
      <alignment horizontal="left" vertical="center" wrapText="1" readingOrder="1"/>
      <protection locked="0"/>
    </xf>
    <xf numFmtId="49" fontId="3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3" fillId="3" borderId="10" xfId="0" applyFont="1" applyFill="1" applyBorder="1" applyAlignment="1" applyProtection="1">
      <alignment horizontal="center" vertical="center" wrapText="1" readingOrder="1"/>
      <protection locked="0"/>
    </xf>
    <xf numFmtId="0" fontId="3" fillId="3" borderId="11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9" fontId="12" fillId="6" borderId="1" xfId="2" applyFont="1" applyFill="1" applyBorder="1" applyAlignment="1" applyProtection="1">
      <alignment horizontal="center" vertical="center" wrapText="1" readingOrder="1"/>
      <protection locked="0"/>
    </xf>
    <xf numFmtId="0" fontId="19" fillId="6" borderId="1" xfId="3" applyFont="1" applyFill="1" applyBorder="1" applyAlignment="1" applyProtection="1">
      <alignment horizontal="center" vertical="center" wrapText="1" readingOrder="1"/>
      <protection locked="0"/>
    </xf>
    <xf numFmtId="0" fontId="11" fillId="6" borderId="1" xfId="3" applyFont="1" applyFill="1" applyBorder="1" applyAlignment="1" applyProtection="1">
      <alignment horizontal="center" vertical="center" textRotation="90" wrapText="1" readingOrder="1"/>
      <protection locked="0"/>
    </xf>
    <xf numFmtId="0" fontId="13" fillId="6" borderId="1" xfId="3" applyFont="1" applyFill="1" applyBorder="1" applyAlignment="1" applyProtection="1">
      <alignment horizontal="right" vertical="center" wrapText="1" readingOrder="1"/>
      <protection locked="0"/>
    </xf>
    <xf numFmtId="0" fontId="3" fillId="7" borderId="1" xfId="3" applyFont="1" applyFill="1" applyBorder="1" applyAlignment="1" applyProtection="1">
      <alignment horizontal="left" vertical="center" wrapText="1" readingOrder="1"/>
      <protection locked="0"/>
    </xf>
    <xf numFmtId="0" fontId="11" fillId="6" borderId="1" xfId="3" applyFont="1" applyFill="1" applyBorder="1" applyAlignment="1" applyProtection="1">
      <alignment horizontal="right" vertical="center" wrapText="1" readingOrder="1"/>
      <protection locked="0"/>
    </xf>
    <xf numFmtId="49" fontId="3" fillId="5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3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3" applyFont="1" applyBorder="1" applyAlignment="1" applyProtection="1">
      <alignment horizontal="center" vertical="center" wrapText="1" readingOrder="1"/>
      <protection locked="0"/>
    </xf>
    <xf numFmtId="0" fontId="16" fillId="0" borderId="1" xfId="3" applyFont="1" applyBorder="1" applyAlignment="1" applyProtection="1">
      <alignment horizontal="left" vertical="center" wrapText="1" readingOrder="1"/>
      <protection locked="0"/>
    </xf>
    <xf numFmtId="49" fontId="11" fillId="5" borderId="1" xfId="3" applyNumberFormat="1" applyFont="1" applyFill="1" applyBorder="1" applyAlignment="1" applyProtection="1">
      <alignment horizontal="left" vertical="center" wrapText="1" readingOrder="1"/>
      <protection locked="0"/>
    </xf>
    <xf numFmtId="49" fontId="11" fillId="3" borderId="1" xfId="3" applyNumberFormat="1" applyFont="1" applyFill="1" applyBorder="1" applyAlignment="1" applyProtection="1">
      <alignment horizontal="left" vertical="center" wrapText="1" readingOrder="1"/>
      <protection locked="0"/>
    </xf>
    <xf numFmtId="49" fontId="3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3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3" applyFont="1" applyBorder="1" applyAlignment="1" applyProtection="1">
      <alignment horizontal="center" vertical="center" wrapText="1" readingOrder="1"/>
      <protection locked="0"/>
    </xf>
    <xf numFmtId="0" fontId="14" fillId="3" borderId="1" xfId="3" applyFont="1" applyFill="1" applyBorder="1" applyAlignment="1" applyProtection="1">
      <alignment horizontal="left" vertical="center" wrapText="1" readingOrder="1"/>
      <protection locked="0"/>
    </xf>
    <xf numFmtId="0" fontId="1" fillId="0" borderId="1" xfId="3" applyFont="1" applyFill="1" applyBorder="1" applyAlignment="1" applyProtection="1">
      <alignment horizontal="center" vertical="center" wrapText="1" readingOrder="1"/>
      <protection locked="0"/>
    </xf>
    <xf numFmtId="0" fontId="16" fillId="0" borderId="1" xfId="3" applyFont="1" applyFill="1" applyBorder="1" applyAlignment="1" applyProtection="1">
      <alignment horizontal="left" vertical="center" wrapText="1" readingOrder="1"/>
      <protection locked="0"/>
    </xf>
    <xf numFmtId="0" fontId="1" fillId="0" borderId="1" xfId="3" applyFont="1" applyBorder="1" applyAlignment="1">
      <alignment horizontal="center" vertical="center" wrapText="1" readingOrder="1"/>
    </xf>
    <xf numFmtId="0" fontId="9" fillId="0" borderId="4" xfId="3" applyFont="1" applyBorder="1" applyAlignment="1">
      <alignment horizontal="center" vertical="center" wrapText="1" readingOrder="1"/>
    </xf>
    <xf numFmtId="0" fontId="1" fillId="0" borderId="11" xfId="3" applyFont="1" applyBorder="1" applyAlignment="1">
      <alignment horizontal="center" vertical="center" wrapText="1" readingOrder="1"/>
    </xf>
    <xf numFmtId="1" fontId="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" fillId="0" borderId="4" xfId="3" applyFont="1" applyFill="1" applyBorder="1" applyAlignment="1" applyProtection="1">
      <alignment horizontal="center" vertical="center" wrapText="1" readingOrder="1"/>
      <protection locked="0"/>
    </xf>
    <xf numFmtId="0" fontId="1" fillId="0" borderId="11" xfId="3" applyFont="1" applyFill="1" applyBorder="1" applyAlignment="1" applyProtection="1">
      <alignment horizontal="center" vertical="center" wrapText="1" readingOrder="1"/>
      <protection locked="0"/>
    </xf>
    <xf numFmtId="0" fontId="11" fillId="0" borderId="3" xfId="3" applyFont="1" applyBorder="1" applyAlignment="1" applyProtection="1">
      <alignment horizontal="center" vertical="center" wrapText="1" readingOrder="1"/>
      <protection locked="0"/>
    </xf>
    <xf numFmtId="0" fontId="14" fillId="4" borderId="1" xfId="3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Border="1" applyAlignment="1">
      <alignment horizontal="left" vertical="center" wrapText="1"/>
    </xf>
    <xf numFmtId="0" fontId="14" fillId="0" borderId="0" xfId="3" applyFont="1" applyBorder="1" applyAlignment="1">
      <alignment horizontal="left"/>
    </xf>
    <xf numFmtId="0" fontId="3" fillId="2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Border="1" applyAlignment="1" applyProtection="1">
      <alignment horizontal="left" vertical="center" wrapText="1" readingOrder="1"/>
      <protection locked="0"/>
    </xf>
    <xf numFmtId="0" fontId="1" fillId="0" borderId="1" xfId="3" applyFont="1" applyBorder="1" applyAlignment="1">
      <alignment horizontal="center" vertical="center" wrapText="1"/>
    </xf>
    <xf numFmtId="0" fontId="14" fillId="0" borderId="0" xfId="3" applyFont="1" applyAlignment="1">
      <alignment horizontal="left"/>
    </xf>
    <xf numFmtId="0" fontId="1" fillId="3" borderId="1" xfId="3" applyFont="1" applyFill="1" applyBorder="1" applyAlignment="1" applyProtection="1">
      <alignment horizontal="center" vertical="center" wrapText="1" readingOrder="1"/>
      <protection locked="0"/>
    </xf>
    <xf numFmtId="0" fontId="1" fillId="3" borderId="1" xfId="3" applyFont="1" applyFill="1" applyBorder="1" applyAlignment="1" applyProtection="1">
      <alignment horizontal="left" vertical="center" wrapText="1" readingOrder="1"/>
      <protection locked="0"/>
    </xf>
    <xf numFmtId="0" fontId="11" fillId="0" borderId="0" xfId="3" applyFont="1" applyAlignment="1" applyProtection="1">
      <alignment horizontal="center" vertical="center" wrapText="1" readingOrder="1"/>
      <protection locked="0"/>
    </xf>
    <xf numFmtId="0" fontId="3" fillId="3" borderId="1" xfId="3" applyFont="1" applyFill="1" applyBorder="1" applyAlignment="1" applyProtection="1">
      <alignment horizontal="center" vertical="center" wrapText="1" readingOrder="1"/>
      <protection locked="0"/>
    </xf>
    <xf numFmtId="0" fontId="1" fillId="4" borderId="1" xfId="3" applyFont="1" applyFill="1" applyBorder="1" applyAlignment="1" applyProtection="1">
      <alignment horizontal="left" vertical="center" wrapText="1" readingOrder="1"/>
      <protection locked="0"/>
    </xf>
    <xf numFmtId="0" fontId="1" fillId="3" borderId="1" xfId="3" applyFont="1" applyFill="1" applyBorder="1" applyAlignment="1">
      <alignment horizontal="center" vertical="center" wrapText="1"/>
    </xf>
    <xf numFmtId="0" fontId="18" fillId="0" borderId="12" xfId="3" applyFont="1" applyBorder="1" applyAlignment="1" applyProtection="1">
      <alignment horizontal="left" vertical="center" wrapText="1" readingOrder="1"/>
      <protection locked="0"/>
    </xf>
    <xf numFmtId="0" fontId="18" fillId="0" borderId="7" xfId="3" applyFont="1" applyBorder="1" applyAlignment="1" applyProtection="1">
      <alignment horizontal="left" vertical="center" wrapText="1" readingOrder="1"/>
      <protection locked="0"/>
    </xf>
    <xf numFmtId="0" fontId="18" fillId="0" borderId="14" xfId="3" applyFont="1" applyBorder="1" applyAlignment="1" applyProtection="1">
      <alignment horizontal="left" vertical="center" wrapText="1" readingOrder="1"/>
      <protection locked="0"/>
    </xf>
    <xf numFmtId="0" fontId="18" fillId="0" borderId="2" xfId="3" applyFont="1" applyBorder="1" applyAlignment="1" applyProtection="1">
      <alignment horizontal="left" vertical="center" wrapText="1" readingOrder="1"/>
      <protection locked="0"/>
    </xf>
    <xf numFmtId="0" fontId="18" fillId="0" borderId="0" xfId="3" applyFont="1" applyBorder="1" applyAlignment="1" applyProtection="1">
      <alignment horizontal="left" vertical="center" wrapText="1" readingOrder="1"/>
      <protection locked="0"/>
    </xf>
    <xf numFmtId="0" fontId="18" fillId="0" borderId="8" xfId="3" applyFont="1" applyBorder="1" applyAlignment="1" applyProtection="1">
      <alignment horizontal="left" vertical="center" wrapText="1" readingOrder="1"/>
      <protection locked="0"/>
    </xf>
    <xf numFmtId="0" fontId="18" fillId="0" borderId="9" xfId="3" applyFont="1" applyBorder="1" applyAlignment="1" applyProtection="1">
      <alignment horizontal="left" vertical="center" wrapText="1" readingOrder="1"/>
      <protection locked="0"/>
    </xf>
    <xf numFmtId="0" fontId="18" fillId="0" borderId="3" xfId="3" applyFont="1" applyBorder="1" applyAlignment="1" applyProtection="1">
      <alignment horizontal="left" vertical="center" wrapText="1" readingOrder="1"/>
      <protection locked="0"/>
    </xf>
    <xf numFmtId="0" fontId="18" fillId="0" borderId="15" xfId="3" applyFont="1" applyBorder="1" applyAlignment="1" applyProtection="1">
      <alignment horizontal="left" vertical="center" wrapText="1" readingOrder="1"/>
      <protection locked="0"/>
    </xf>
    <xf numFmtId="0" fontId="3" fillId="0" borderId="4" xfId="3" applyFont="1" applyFill="1" applyBorder="1" applyAlignment="1" applyProtection="1">
      <alignment horizontal="center" vertical="center" wrapText="1" readingOrder="1"/>
      <protection locked="0"/>
    </xf>
    <xf numFmtId="0" fontId="3" fillId="0" borderId="10" xfId="3" applyFont="1" applyFill="1" applyBorder="1" applyAlignment="1" applyProtection="1">
      <alignment horizontal="center" vertical="center" wrapText="1" readingOrder="1"/>
      <protection locked="0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49" fontId="9" fillId="4" borderId="4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4" borderId="11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3" borderId="4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3" borderId="11" xfId="3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4" xfId="3" applyFont="1" applyFill="1" applyBorder="1" applyAlignment="1" applyProtection="1">
      <alignment horizontal="center" vertical="center" wrapText="1" readingOrder="1"/>
      <protection locked="0"/>
    </xf>
    <xf numFmtId="0" fontId="9" fillId="3" borderId="11" xfId="3" applyFont="1" applyFill="1" applyBorder="1" applyAlignment="1" applyProtection="1">
      <alignment horizontal="center" vertical="center" wrapText="1" readingOrder="1"/>
      <protection locked="0"/>
    </xf>
    <xf numFmtId="0" fontId="9" fillId="3" borderId="12" xfId="3" applyFont="1" applyFill="1" applyBorder="1" applyAlignment="1" applyProtection="1">
      <alignment horizontal="left" vertical="center" wrapText="1" readingOrder="1"/>
      <protection locked="0"/>
    </xf>
    <xf numFmtId="0" fontId="9" fillId="3" borderId="7" xfId="3" applyFont="1" applyFill="1" applyBorder="1" applyAlignment="1" applyProtection="1">
      <alignment horizontal="left" vertical="center" wrapText="1" readingOrder="1"/>
      <protection locked="0"/>
    </xf>
    <xf numFmtId="0" fontId="9" fillId="3" borderId="14" xfId="3" applyFont="1" applyFill="1" applyBorder="1" applyAlignment="1" applyProtection="1">
      <alignment horizontal="left" vertical="center" wrapText="1" readingOrder="1"/>
      <protection locked="0"/>
    </xf>
    <xf numFmtId="0" fontId="9" fillId="3" borderId="9" xfId="3" applyFont="1" applyFill="1" applyBorder="1" applyAlignment="1" applyProtection="1">
      <alignment horizontal="left" vertical="center" wrapText="1" readingOrder="1"/>
      <protection locked="0"/>
    </xf>
    <xf numFmtId="0" fontId="9" fillId="3" borderId="3" xfId="3" applyFont="1" applyFill="1" applyBorder="1" applyAlignment="1" applyProtection="1">
      <alignment horizontal="left" vertical="center" wrapText="1" readingOrder="1"/>
      <protection locked="0"/>
    </xf>
    <xf numFmtId="0" fontId="9" fillId="3" borderId="15" xfId="3" applyFont="1" applyFill="1" applyBorder="1" applyAlignment="1" applyProtection="1">
      <alignment horizontal="left" vertical="center" wrapText="1" readingOrder="1"/>
      <protection locked="0"/>
    </xf>
    <xf numFmtId="0" fontId="9" fillId="3" borderId="4" xfId="3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wrapText="1"/>
    </xf>
    <xf numFmtId="0" fontId="9" fillId="0" borderId="1" xfId="3" applyFont="1" applyBorder="1" applyAlignment="1" applyProtection="1">
      <alignment horizontal="center" vertical="center" wrapText="1" readingOrder="1"/>
      <protection locked="0"/>
    </xf>
    <xf numFmtId="0" fontId="24" fillId="0" borderId="1" xfId="3" applyFont="1" applyBorder="1" applyAlignment="1" applyProtection="1">
      <alignment horizontal="left" vertical="center" wrapText="1" readingOrder="1"/>
      <protection locked="0"/>
    </xf>
    <xf numFmtId="49" fontId="9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9" fillId="0" borderId="3" xfId="3" applyFont="1" applyBorder="1" applyAlignment="1" applyProtection="1">
      <alignment horizontal="center" vertical="center" wrapText="1" readingOrder="1"/>
      <protection locked="0"/>
    </xf>
    <xf numFmtId="0" fontId="9" fillId="4" borderId="1" xfId="3" applyFont="1" applyFill="1" applyBorder="1" applyAlignment="1" applyProtection="1">
      <alignment horizontal="left" vertical="center" wrapText="1" readingOrder="1"/>
      <protection locked="0"/>
    </xf>
    <xf numFmtId="0" fontId="9" fillId="3" borderId="1" xfId="3" applyFont="1" applyFill="1" applyBorder="1" applyAlignment="1" applyProtection="1">
      <alignment horizontal="center" vertical="center" wrapText="1" readingOrder="1"/>
      <protection locked="0"/>
    </xf>
    <xf numFmtId="0" fontId="24" fillId="0" borderId="12" xfId="3" applyFont="1" applyBorder="1" applyAlignment="1" applyProtection="1">
      <alignment horizontal="left" vertical="center" wrapText="1" readingOrder="1"/>
      <protection locked="0"/>
    </xf>
    <xf numFmtId="0" fontId="24" fillId="0" borderId="7" xfId="3" applyFont="1" applyBorder="1" applyAlignment="1" applyProtection="1">
      <alignment horizontal="left" vertical="center" wrapText="1" readingOrder="1"/>
      <protection locked="0"/>
    </xf>
    <xf numFmtId="0" fontId="24" fillId="0" borderId="14" xfId="3" applyFont="1" applyBorder="1" applyAlignment="1" applyProtection="1">
      <alignment horizontal="left" vertical="center" wrapText="1" readingOrder="1"/>
      <protection locked="0"/>
    </xf>
    <xf numFmtId="0" fontId="24" fillId="0" borderId="2" xfId="3" applyFont="1" applyBorder="1" applyAlignment="1" applyProtection="1">
      <alignment horizontal="left" vertical="center" wrapText="1" readingOrder="1"/>
      <protection locked="0"/>
    </xf>
    <xf numFmtId="0" fontId="24" fillId="0" borderId="0" xfId="3" applyFont="1" applyBorder="1" applyAlignment="1" applyProtection="1">
      <alignment horizontal="left" vertical="center" wrapText="1" readingOrder="1"/>
      <protection locked="0"/>
    </xf>
    <xf numFmtId="0" fontId="24" fillId="0" borderId="8" xfId="3" applyFont="1" applyBorder="1" applyAlignment="1" applyProtection="1">
      <alignment horizontal="left" vertical="center" wrapText="1" readingOrder="1"/>
      <protection locked="0"/>
    </xf>
    <xf numFmtId="0" fontId="24" fillId="0" borderId="9" xfId="3" applyFont="1" applyBorder="1" applyAlignment="1" applyProtection="1">
      <alignment horizontal="left" vertical="center" wrapText="1" readingOrder="1"/>
      <protection locked="0"/>
    </xf>
    <xf numFmtId="0" fontId="24" fillId="0" borderId="3" xfId="3" applyFont="1" applyBorder="1" applyAlignment="1" applyProtection="1">
      <alignment horizontal="left" vertical="center" wrapText="1" readingOrder="1"/>
      <protection locked="0"/>
    </xf>
    <xf numFmtId="0" fontId="24" fillId="0" borderId="15" xfId="3" applyFont="1" applyBorder="1" applyAlignment="1" applyProtection="1">
      <alignment horizontal="left" vertical="center" wrapText="1" readingOrder="1"/>
      <protection locked="0"/>
    </xf>
    <xf numFmtId="0" fontId="9" fillId="0" borderId="0" xfId="3" applyFont="1" applyAlignment="1">
      <alignment horizontal="left"/>
    </xf>
    <xf numFmtId="0" fontId="19" fillId="7" borderId="1" xfId="3" applyFont="1" applyFill="1" applyBorder="1" applyAlignment="1" applyProtection="1">
      <alignment horizontal="center" vertical="center" wrapText="1" readingOrder="1"/>
      <protection locked="0"/>
    </xf>
    <xf numFmtId="9" fontId="19" fillId="6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3" applyFont="1" applyFill="1" applyBorder="1" applyAlignment="1">
      <alignment horizontal="center" vertical="center" wrapText="1"/>
    </xf>
    <xf numFmtId="0" fontId="19" fillId="6" borderId="1" xfId="3" applyFont="1" applyFill="1" applyBorder="1" applyAlignment="1" applyProtection="1">
      <alignment horizontal="center" vertical="center" textRotation="90" wrapText="1" readingOrder="1"/>
      <protection locked="0"/>
    </xf>
    <xf numFmtId="0" fontId="9" fillId="3" borderId="1" xfId="3" applyFont="1" applyFill="1" applyBorder="1" applyAlignment="1" applyProtection="1">
      <alignment horizontal="left" vertical="center" wrapText="1" readingOrder="1"/>
      <protection locked="0"/>
    </xf>
    <xf numFmtId="0" fontId="10" fillId="0" borderId="0" xfId="3" applyFont="1" applyAlignment="1">
      <alignment horizontal="left" wrapText="1"/>
    </xf>
    <xf numFmtId="9" fontId="9" fillId="9" borderId="1" xfId="4" applyFont="1" applyFill="1" applyBorder="1" applyAlignment="1">
      <alignment horizontal="center" wrapText="1"/>
    </xf>
    <xf numFmtId="0" fontId="19" fillId="0" borderId="0" xfId="3" applyFont="1" applyAlignment="1">
      <alignment horizontal="left"/>
    </xf>
    <xf numFmtId="0" fontId="10" fillId="6" borderId="1" xfId="3" applyFont="1" applyFill="1" applyBorder="1" applyAlignment="1" applyProtection="1">
      <alignment horizontal="right" vertical="center" wrapText="1" readingOrder="1"/>
      <protection locked="0"/>
    </xf>
    <xf numFmtId="0" fontId="19" fillId="6" borderId="1" xfId="3" applyFont="1" applyFill="1" applyBorder="1" applyAlignment="1" applyProtection="1">
      <alignment horizontal="right" vertical="center" wrapText="1" readingOrder="1"/>
      <protection locked="0"/>
    </xf>
    <xf numFmtId="0" fontId="9" fillId="7" borderId="1" xfId="3" applyFont="1" applyFill="1" applyBorder="1" applyAlignment="1" applyProtection="1">
      <alignment horizontal="left" vertical="center" wrapText="1" readingOrder="1"/>
      <protection locked="0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 wrapText="1"/>
    </xf>
    <xf numFmtId="49" fontId="9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3" applyFont="1" applyBorder="1" applyAlignment="1">
      <alignment horizontal="center" vertical="center" wrapText="1"/>
    </xf>
    <xf numFmtId="1" fontId="9" fillId="0" borderId="1" xfId="3" applyNumberFormat="1" applyFont="1" applyBorder="1" applyAlignment="1" applyProtection="1">
      <alignment horizontal="center" vertical="center" wrapText="1" readingOrder="1"/>
      <protection locked="0"/>
    </xf>
    <xf numFmtId="49" fontId="11" fillId="4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11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14" fillId="0" borderId="1" xfId="3" applyNumberFormat="1" applyFont="1" applyBorder="1" applyAlignment="1" applyProtection="1">
      <alignment horizontal="center" vertical="center" wrapText="1" readingOrder="1"/>
      <protection locked="0"/>
    </xf>
    <xf numFmtId="49" fontId="1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left" vertical="center" wrapText="1" readingOrder="1"/>
      <protection locked="0"/>
    </xf>
    <xf numFmtId="0" fontId="3" fillId="0" borderId="1" xfId="3" applyFont="1" applyFill="1" applyBorder="1" applyAlignment="1" applyProtection="1">
      <alignment horizontal="center" vertical="center" wrapText="1" readingOrder="1"/>
      <protection locked="0"/>
    </xf>
    <xf numFmtId="0" fontId="14" fillId="0" borderId="1" xfId="3" applyFont="1" applyBorder="1" applyAlignment="1" applyProtection="1">
      <alignment horizontal="center" vertical="center" wrapText="1" readingOrder="1"/>
      <protection locked="0"/>
    </xf>
    <xf numFmtId="0" fontId="11" fillId="0" borderId="1" xfId="3" applyFont="1" applyBorder="1" applyAlignment="1" applyProtection="1">
      <alignment horizontal="center" vertical="center" wrapText="1" readingOrder="1"/>
      <protection locked="0"/>
    </xf>
    <xf numFmtId="49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center" wrapText="1" readingOrder="1"/>
      <protection locked="0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 applyProtection="1">
      <alignment horizontal="center" vertical="center" wrapText="1" readingOrder="1"/>
      <protection locked="0"/>
    </xf>
    <xf numFmtId="0" fontId="6" fillId="0" borderId="0" xfId="3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2" xfId="3" applyFont="1" applyBorder="1" applyAlignment="1">
      <alignment horizontal="center" wrapText="1"/>
    </xf>
    <xf numFmtId="0" fontId="7" fillId="0" borderId="0" xfId="3" applyFont="1" applyAlignment="1">
      <alignment horizont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 applyProtection="1">
      <alignment horizontal="left" vertical="center" wrapText="1" readingOrder="1"/>
      <protection locked="0"/>
    </xf>
    <xf numFmtId="0" fontId="9" fillId="7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4" xfId="3" applyFont="1" applyBorder="1" applyAlignment="1" applyProtection="1">
      <alignment horizontal="center" vertical="center" wrapText="1" readingOrder="1"/>
      <protection locked="0"/>
    </xf>
    <xf numFmtId="0" fontId="9" fillId="0" borderId="11" xfId="3" applyFont="1" applyBorder="1" applyAlignment="1" applyProtection="1">
      <alignment horizontal="center" vertical="center" wrapText="1" readingOrder="1"/>
      <protection locked="0"/>
    </xf>
    <xf numFmtId="49" fontId="9" fillId="5" borderId="4" xfId="3" applyNumberFormat="1" applyFont="1" applyFill="1" applyBorder="1" applyAlignment="1">
      <alignment horizontal="center" vertical="center" wrapText="1"/>
    </xf>
    <xf numFmtId="49" fontId="9" fillId="5" borderId="10" xfId="3" applyNumberFormat="1" applyFont="1" applyFill="1" applyBorder="1" applyAlignment="1">
      <alignment horizontal="center" vertical="center" wrapText="1"/>
    </xf>
    <xf numFmtId="49" fontId="9" fillId="5" borderId="11" xfId="3" applyNumberFormat="1" applyFont="1" applyFill="1" applyBorder="1" applyAlignment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 readingOrder="1"/>
      <protection locked="0"/>
    </xf>
    <xf numFmtId="0" fontId="9" fillId="0" borderId="10" xfId="3" applyFont="1" applyFill="1" applyBorder="1" applyAlignment="1" applyProtection="1">
      <alignment horizontal="center" vertical="center" wrapText="1" readingOrder="1"/>
      <protection locked="0"/>
    </xf>
    <xf numFmtId="0" fontId="9" fillId="0" borderId="11" xfId="3" applyFont="1" applyFill="1" applyBorder="1" applyAlignment="1" applyProtection="1">
      <alignment horizontal="center" vertical="center" wrapText="1" readingOrder="1"/>
      <protection locked="0"/>
    </xf>
    <xf numFmtId="0" fontId="19" fillId="0" borderId="6" xfId="3" applyFont="1" applyFill="1" applyBorder="1" applyAlignment="1" applyProtection="1">
      <alignment horizontal="left" vertical="center" wrapText="1" readingOrder="1"/>
      <protection locked="0"/>
    </xf>
    <xf numFmtId="0" fontId="19" fillId="0" borderId="5" xfId="3" applyFont="1" applyFill="1" applyBorder="1" applyAlignment="1" applyProtection="1">
      <alignment horizontal="left" vertical="center" wrapText="1" readingOrder="1"/>
      <protection locked="0"/>
    </xf>
    <xf numFmtId="0" fontId="19" fillId="0" borderId="13" xfId="3" applyFont="1" applyFill="1" applyBorder="1" applyAlignment="1" applyProtection="1">
      <alignment horizontal="left" vertical="center" wrapText="1" readingOrder="1"/>
      <protection locked="0"/>
    </xf>
    <xf numFmtId="0" fontId="24" fillId="0" borderId="1" xfId="3" applyFont="1" applyFill="1" applyBorder="1" applyAlignment="1" applyProtection="1">
      <alignment horizontal="left" vertical="center" wrapText="1" readingOrder="1"/>
      <protection locked="0"/>
    </xf>
    <xf numFmtId="49" fontId="9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49" fontId="9" fillId="0" borderId="4" xfId="3" applyNumberFormat="1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>
      <alignment horizontal="center" vertical="center" wrapText="1"/>
    </xf>
    <xf numFmtId="49" fontId="9" fillId="0" borderId="11" xfId="3" applyNumberFormat="1" applyFont="1" applyFill="1" applyBorder="1" applyAlignment="1">
      <alignment horizontal="center" vertical="center" wrapText="1"/>
    </xf>
    <xf numFmtId="49" fontId="9" fillId="5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 readingOrder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0" fontId="9" fillId="2" borderId="6" xfId="3" applyFont="1" applyFill="1" applyBorder="1" applyAlignment="1" applyProtection="1">
      <alignment horizontal="left" vertical="center" wrapText="1" readingOrder="1"/>
      <protection locked="0"/>
    </xf>
    <xf numFmtId="0" fontId="9" fillId="2" borderId="5" xfId="3" applyFont="1" applyFill="1" applyBorder="1" applyAlignment="1" applyProtection="1">
      <alignment horizontal="left" vertical="center" wrapText="1" readingOrder="1"/>
      <protection locked="0"/>
    </xf>
    <xf numFmtId="0" fontId="9" fillId="2" borderId="13" xfId="3" applyFont="1" applyFill="1" applyBorder="1" applyAlignment="1" applyProtection="1">
      <alignment horizontal="left" vertical="center" wrapText="1" readingOrder="1"/>
      <protection locked="0"/>
    </xf>
    <xf numFmtId="49" fontId="9" fillId="3" borderId="10" xfId="3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6" xfId="0" applyFont="1" applyBorder="1" applyAlignment="1" applyProtection="1">
      <alignment horizontal="left" vertical="center" wrapText="1" readingOrder="1"/>
      <protection locked="0"/>
    </xf>
    <xf numFmtId="0" fontId="18" fillId="0" borderId="5" xfId="0" applyFont="1" applyBorder="1" applyAlignment="1" applyProtection="1">
      <alignment horizontal="left" vertical="center" wrapText="1" readingOrder="1"/>
      <protection locked="0"/>
    </xf>
    <xf numFmtId="0" fontId="18" fillId="0" borderId="13" xfId="0" applyFont="1" applyBorder="1" applyAlignment="1" applyProtection="1">
      <alignment horizontal="left" vertical="center" wrapText="1" readingOrder="1"/>
      <protection locked="0"/>
    </xf>
    <xf numFmtId="49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 applyProtection="1">
      <alignment horizontal="left" vertical="center" wrapText="1" readingOrder="1"/>
      <protection locked="0"/>
    </xf>
    <xf numFmtId="0" fontId="16" fillId="0" borderId="5" xfId="0" applyFont="1" applyBorder="1" applyAlignment="1" applyProtection="1">
      <alignment horizontal="left" vertical="center" wrapText="1" readingOrder="1"/>
      <protection locked="0"/>
    </xf>
    <xf numFmtId="0" fontId="16" fillId="0" borderId="13" xfId="0" applyFont="1" applyBorder="1" applyAlignment="1" applyProtection="1">
      <alignment horizontal="left" vertical="center" wrapText="1" readingOrder="1"/>
      <protection locked="0"/>
    </xf>
    <xf numFmtId="0" fontId="1" fillId="4" borderId="6" xfId="0" applyFont="1" applyFill="1" applyBorder="1" applyAlignment="1" applyProtection="1">
      <alignment horizontal="left" vertical="center" wrapText="1" readingOrder="1"/>
      <protection locked="0"/>
    </xf>
    <xf numFmtId="0" fontId="1" fillId="4" borderId="5" xfId="0" applyFont="1" applyFill="1" applyBorder="1" applyAlignment="1" applyProtection="1">
      <alignment horizontal="left" vertical="center" wrapText="1" readingOrder="1"/>
      <protection locked="0"/>
    </xf>
    <xf numFmtId="0" fontId="1" fillId="4" borderId="13" xfId="0" applyFont="1" applyFill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</cellXfs>
  <cellStyles count="6">
    <cellStyle name="Įprastas" xfId="0" builtinId="0"/>
    <cellStyle name="Įprastas 2" xfId="3"/>
    <cellStyle name="Įprastas 2 2" xfId="5"/>
    <cellStyle name="Normal 2" xfId="1"/>
    <cellStyle name="Procentai" xfId="2" builtinId="5"/>
    <cellStyle name="Procentai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"/>
  <sheetViews>
    <sheetView tabSelected="1" zoomScaleNormal="100" zoomScaleSheetLayoutView="100" workbookViewId="0">
      <pane ySplit="11" topLeftCell="A207" activePane="bottomLeft" state="frozen"/>
      <selection pane="bottomLeft" activeCell="Q1" sqref="Q1:S1048576"/>
    </sheetView>
  </sheetViews>
  <sheetFormatPr defaultColWidth="9.140625" defaultRowHeight="12.75" x14ac:dyDescent="0.2"/>
  <cols>
    <col min="1" max="2" width="5" style="97" customWidth="1"/>
    <col min="3" max="4" width="5" style="1" customWidth="1"/>
    <col min="5" max="5" width="17.7109375" style="1" customWidth="1"/>
    <col min="6" max="6" width="13" style="1" customWidth="1"/>
    <col min="7" max="7" width="13" style="3" customWidth="1"/>
    <col min="8" max="9" width="13" style="1" customWidth="1"/>
    <col min="10" max="11" width="24.7109375" style="1" customWidth="1"/>
    <col min="12" max="12" width="49.7109375" style="1" customWidth="1"/>
    <col min="13" max="16" width="6.28515625" style="1" customWidth="1"/>
    <col min="17" max="17" width="32.7109375" style="1" customWidth="1"/>
    <col min="18" max="18" width="11.7109375" style="98" hidden="1" customWidth="1"/>
    <col min="19" max="19" width="9.140625" style="1" customWidth="1"/>
    <col min="20" max="20" width="9.140625" style="1"/>
    <col min="21" max="21" width="32.140625" style="1" customWidth="1"/>
    <col min="22" max="16384" width="9.140625" style="1"/>
  </cols>
  <sheetData>
    <row r="1" spans="1:18" x14ac:dyDescent="0.2">
      <c r="Q1" s="193" t="s">
        <v>344</v>
      </c>
    </row>
    <row r="2" spans="1:18" x14ac:dyDescent="0.2">
      <c r="Q2" s="193" t="s">
        <v>873</v>
      </c>
    </row>
    <row r="3" spans="1:18" x14ac:dyDescent="0.2">
      <c r="Q3" s="193" t="s">
        <v>1023</v>
      </c>
    </row>
    <row r="4" spans="1:18" x14ac:dyDescent="0.2">
      <c r="H4" s="6"/>
      <c r="Q4" s="194" t="s">
        <v>874</v>
      </c>
    </row>
    <row r="5" spans="1:18" ht="13.5" customHeight="1" x14ac:dyDescent="0.2">
      <c r="H5" s="6"/>
      <c r="Q5" s="194" t="s">
        <v>875</v>
      </c>
    </row>
    <row r="6" spans="1:18" x14ac:dyDescent="0.2">
      <c r="H6" s="6"/>
      <c r="Q6" s="194" t="s">
        <v>285</v>
      </c>
    </row>
    <row r="7" spans="1:18" x14ac:dyDescent="0.2">
      <c r="H7" s="6"/>
    </row>
    <row r="8" spans="1:18" x14ac:dyDescent="0.2">
      <c r="A8" s="470" t="s">
        <v>833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99" t="s">
        <v>284</v>
      </c>
      <c r="R8" s="100"/>
    </row>
    <row r="9" spans="1:18" ht="26.25" customHeight="1" x14ac:dyDescent="0.2">
      <c r="A9" s="448" t="s">
        <v>270</v>
      </c>
      <c r="B9" s="448"/>
      <c r="C9" s="448"/>
      <c r="D9" s="473" t="s">
        <v>248</v>
      </c>
      <c r="E9" s="448" t="s">
        <v>885</v>
      </c>
      <c r="F9" s="448" t="s">
        <v>376</v>
      </c>
      <c r="G9" s="472" t="s">
        <v>287</v>
      </c>
      <c r="H9" s="448" t="s">
        <v>253</v>
      </c>
      <c r="I9" s="448" t="s">
        <v>346</v>
      </c>
      <c r="J9" s="448" t="s">
        <v>879</v>
      </c>
      <c r="K9" s="447" t="s">
        <v>8</v>
      </c>
      <c r="L9" s="447" t="s">
        <v>249</v>
      </c>
      <c r="M9" s="447"/>
      <c r="N9" s="447" t="s">
        <v>250</v>
      </c>
      <c r="O9" s="447"/>
      <c r="P9" s="447"/>
      <c r="Q9" s="447" t="s">
        <v>880</v>
      </c>
      <c r="R9" s="471" t="s">
        <v>286</v>
      </c>
    </row>
    <row r="10" spans="1:18" ht="82.5" customHeight="1" x14ac:dyDescent="0.2">
      <c r="A10" s="71" t="s">
        <v>271</v>
      </c>
      <c r="B10" s="71" t="s">
        <v>272</v>
      </c>
      <c r="C10" s="71" t="s">
        <v>273</v>
      </c>
      <c r="D10" s="473"/>
      <c r="E10" s="448"/>
      <c r="F10" s="448"/>
      <c r="G10" s="472"/>
      <c r="H10" s="448"/>
      <c r="I10" s="448"/>
      <c r="J10" s="448"/>
      <c r="K10" s="447"/>
      <c r="L10" s="78" t="s">
        <v>1</v>
      </c>
      <c r="M10" s="78" t="s">
        <v>9</v>
      </c>
      <c r="N10" s="77">
        <v>2025</v>
      </c>
      <c r="O10" s="77">
        <v>2026</v>
      </c>
      <c r="P10" s="77">
        <v>2027</v>
      </c>
      <c r="Q10" s="447"/>
      <c r="R10" s="471"/>
    </row>
    <row r="11" spans="1:18" x14ac:dyDescent="0.2">
      <c r="A11" s="49">
        <v>1</v>
      </c>
      <c r="B11" s="49">
        <v>2</v>
      </c>
      <c r="C11" s="49">
        <v>3</v>
      </c>
      <c r="D11" s="49">
        <v>4</v>
      </c>
      <c r="E11" s="49">
        <v>5</v>
      </c>
      <c r="F11" s="49">
        <v>6</v>
      </c>
      <c r="G11" s="50">
        <v>7</v>
      </c>
      <c r="H11" s="49">
        <v>8</v>
      </c>
      <c r="I11" s="49">
        <v>9</v>
      </c>
      <c r="J11" s="49">
        <v>10</v>
      </c>
      <c r="K11" s="78">
        <v>11</v>
      </c>
      <c r="L11" s="78">
        <v>12</v>
      </c>
      <c r="M11" s="78">
        <v>13</v>
      </c>
      <c r="N11" s="78">
        <v>14</v>
      </c>
      <c r="O11" s="78">
        <v>15</v>
      </c>
      <c r="P11" s="78">
        <v>16</v>
      </c>
      <c r="Q11" s="78">
        <v>17</v>
      </c>
      <c r="R11" s="8">
        <v>18</v>
      </c>
    </row>
    <row r="12" spans="1:18" s="193" customFormat="1" x14ac:dyDescent="0.2">
      <c r="A12" s="144" t="s">
        <v>0</v>
      </c>
      <c r="B12" s="101"/>
      <c r="C12" s="101"/>
      <c r="D12" s="101"/>
      <c r="E12" s="434" t="s">
        <v>115</v>
      </c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220"/>
    </row>
    <row r="13" spans="1:18" s="193" customFormat="1" ht="26.45" customHeight="1" x14ac:dyDescent="0.2">
      <c r="A13" s="464" t="s">
        <v>0</v>
      </c>
      <c r="B13" s="467" t="s">
        <v>0</v>
      </c>
      <c r="C13" s="452"/>
      <c r="D13" s="452" t="s">
        <v>31</v>
      </c>
      <c r="E13" s="455" t="s">
        <v>116</v>
      </c>
      <c r="F13" s="456"/>
      <c r="G13" s="456"/>
      <c r="H13" s="456"/>
      <c r="I13" s="457"/>
      <c r="J13" s="452" t="s">
        <v>947</v>
      </c>
      <c r="K13" s="102" t="s">
        <v>109</v>
      </c>
      <c r="L13" s="147" t="s">
        <v>161</v>
      </c>
      <c r="M13" s="102" t="s">
        <v>11</v>
      </c>
      <c r="N13" s="302">
        <v>100</v>
      </c>
      <c r="O13" s="302">
        <v>100</v>
      </c>
      <c r="P13" s="302">
        <v>100</v>
      </c>
      <c r="Q13" s="449" t="s">
        <v>278</v>
      </c>
      <c r="R13" s="220"/>
    </row>
    <row r="14" spans="1:18" s="193" customFormat="1" ht="25.5" x14ac:dyDescent="0.2">
      <c r="A14" s="465"/>
      <c r="B14" s="468"/>
      <c r="C14" s="453"/>
      <c r="D14" s="453"/>
      <c r="E14" s="458"/>
      <c r="F14" s="459"/>
      <c r="G14" s="459"/>
      <c r="H14" s="459"/>
      <c r="I14" s="460"/>
      <c r="J14" s="453"/>
      <c r="K14" s="102" t="s">
        <v>29</v>
      </c>
      <c r="L14" s="102" t="s">
        <v>174</v>
      </c>
      <c r="M14" s="102" t="s">
        <v>11</v>
      </c>
      <c r="N14" s="302">
        <v>95</v>
      </c>
      <c r="O14" s="302">
        <v>96</v>
      </c>
      <c r="P14" s="302">
        <v>97</v>
      </c>
      <c r="Q14" s="450"/>
      <c r="R14" s="220"/>
    </row>
    <row r="15" spans="1:18" s="193" customFormat="1" ht="25.5" x14ac:dyDescent="0.2">
      <c r="A15" s="465"/>
      <c r="B15" s="468"/>
      <c r="C15" s="453"/>
      <c r="D15" s="453"/>
      <c r="E15" s="458"/>
      <c r="F15" s="459"/>
      <c r="G15" s="459"/>
      <c r="H15" s="459"/>
      <c r="I15" s="460"/>
      <c r="J15" s="453"/>
      <c r="K15" s="102" t="s">
        <v>30</v>
      </c>
      <c r="L15" s="102" t="s">
        <v>160</v>
      </c>
      <c r="M15" s="102" t="s">
        <v>12</v>
      </c>
      <c r="N15" s="302">
        <v>11.8</v>
      </c>
      <c r="O15" s="302">
        <v>12</v>
      </c>
      <c r="P15" s="302">
        <v>12.5</v>
      </c>
      <c r="Q15" s="450"/>
      <c r="R15" s="220"/>
    </row>
    <row r="16" spans="1:18" s="193" customFormat="1" ht="38.25" x14ac:dyDescent="0.2">
      <c r="A16" s="465"/>
      <c r="B16" s="468"/>
      <c r="C16" s="453"/>
      <c r="D16" s="453"/>
      <c r="E16" s="458"/>
      <c r="F16" s="459"/>
      <c r="G16" s="459"/>
      <c r="H16" s="459"/>
      <c r="I16" s="460"/>
      <c r="J16" s="453"/>
      <c r="K16" s="102" t="s">
        <v>110</v>
      </c>
      <c r="L16" s="147" t="s">
        <v>159</v>
      </c>
      <c r="M16" s="102" t="s">
        <v>11</v>
      </c>
      <c r="N16" s="302">
        <v>47.2</v>
      </c>
      <c r="O16" s="302">
        <v>48</v>
      </c>
      <c r="P16" s="302">
        <v>50</v>
      </c>
      <c r="Q16" s="450"/>
      <c r="R16" s="220"/>
    </row>
    <row r="17" spans="1:26" s="193" customFormat="1" ht="25.5" x14ac:dyDescent="0.2">
      <c r="A17" s="465"/>
      <c r="B17" s="468"/>
      <c r="C17" s="453"/>
      <c r="D17" s="453"/>
      <c r="E17" s="458"/>
      <c r="F17" s="459"/>
      <c r="G17" s="459"/>
      <c r="H17" s="459"/>
      <c r="I17" s="460"/>
      <c r="J17" s="453"/>
      <c r="K17" s="102" t="s">
        <v>111</v>
      </c>
      <c r="L17" s="102" t="s">
        <v>158</v>
      </c>
      <c r="M17" s="102" t="s">
        <v>11</v>
      </c>
      <c r="N17" s="302">
        <v>62</v>
      </c>
      <c r="O17" s="302">
        <v>64</v>
      </c>
      <c r="P17" s="302">
        <v>65</v>
      </c>
      <c r="Q17" s="450"/>
      <c r="R17" s="220"/>
    </row>
    <row r="18" spans="1:26" s="193" customFormat="1" ht="25.5" x14ac:dyDescent="0.2">
      <c r="A18" s="465"/>
      <c r="B18" s="468"/>
      <c r="C18" s="453"/>
      <c r="D18" s="453"/>
      <c r="E18" s="458"/>
      <c r="F18" s="459"/>
      <c r="G18" s="459"/>
      <c r="H18" s="459"/>
      <c r="I18" s="460"/>
      <c r="J18" s="453"/>
      <c r="K18" s="102" t="s">
        <v>117</v>
      </c>
      <c r="L18" s="102" t="s">
        <v>83</v>
      </c>
      <c r="M18" s="102" t="s">
        <v>11</v>
      </c>
      <c r="N18" s="302">
        <v>70</v>
      </c>
      <c r="O18" s="302">
        <v>71</v>
      </c>
      <c r="P18" s="302">
        <v>72</v>
      </c>
      <c r="Q18" s="450"/>
      <c r="R18" s="220"/>
    </row>
    <row r="19" spans="1:26" s="193" customFormat="1" x14ac:dyDescent="0.2">
      <c r="A19" s="465"/>
      <c r="B19" s="468"/>
      <c r="C19" s="453"/>
      <c r="D19" s="453"/>
      <c r="E19" s="458"/>
      <c r="F19" s="459"/>
      <c r="G19" s="459"/>
      <c r="H19" s="459"/>
      <c r="I19" s="460"/>
      <c r="J19" s="453"/>
      <c r="K19" s="102" t="s">
        <v>118</v>
      </c>
      <c r="L19" s="102" t="s">
        <v>123</v>
      </c>
      <c r="M19" s="102" t="s">
        <v>11</v>
      </c>
      <c r="N19" s="302">
        <v>94</v>
      </c>
      <c r="O19" s="302">
        <v>95</v>
      </c>
      <c r="P19" s="302">
        <v>96</v>
      </c>
      <c r="Q19" s="450"/>
      <c r="R19" s="220"/>
    </row>
    <row r="20" spans="1:26" s="193" customFormat="1" x14ac:dyDescent="0.2">
      <c r="A20" s="466"/>
      <c r="B20" s="469"/>
      <c r="C20" s="454"/>
      <c r="D20" s="454"/>
      <c r="E20" s="461"/>
      <c r="F20" s="462"/>
      <c r="G20" s="462"/>
      <c r="H20" s="462"/>
      <c r="I20" s="463"/>
      <c r="J20" s="454"/>
      <c r="K20" s="102" t="s">
        <v>991</v>
      </c>
      <c r="L20" s="303" t="s">
        <v>133</v>
      </c>
      <c r="M20" s="303" t="s">
        <v>12</v>
      </c>
      <c r="N20" s="304">
        <v>37</v>
      </c>
      <c r="O20" s="304">
        <v>43</v>
      </c>
      <c r="P20" s="304">
        <v>48</v>
      </c>
      <c r="Q20" s="451"/>
      <c r="R20" s="220"/>
    </row>
    <row r="21" spans="1:26" s="193" customFormat="1" ht="25.5" x14ac:dyDescent="0.2">
      <c r="A21" s="424" t="s">
        <v>0</v>
      </c>
      <c r="B21" s="426" t="s">
        <v>0</v>
      </c>
      <c r="C21" s="430" t="s">
        <v>0</v>
      </c>
      <c r="D21" s="430" t="s">
        <v>21</v>
      </c>
      <c r="E21" s="423" t="s">
        <v>32</v>
      </c>
      <c r="F21" s="423"/>
      <c r="G21" s="423"/>
      <c r="H21" s="423"/>
      <c r="I21" s="423"/>
      <c r="J21" s="430" t="s">
        <v>19</v>
      </c>
      <c r="K21" s="73" t="s">
        <v>182</v>
      </c>
      <c r="L21" s="73" t="s">
        <v>165</v>
      </c>
      <c r="M21" s="73" t="s">
        <v>11</v>
      </c>
      <c r="N21" s="221">
        <v>20</v>
      </c>
      <c r="O21" s="221">
        <v>20.3</v>
      </c>
      <c r="P21" s="221">
        <v>20.5</v>
      </c>
      <c r="Q21" s="221" t="s">
        <v>19</v>
      </c>
      <c r="R21" s="220"/>
      <c r="S21" s="222"/>
    </row>
    <row r="22" spans="1:26" s="193" customFormat="1" ht="25.5" x14ac:dyDescent="0.2">
      <c r="A22" s="424"/>
      <c r="B22" s="426"/>
      <c r="C22" s="430"/>
      <c r="D22" s="430"/>
      <c r="E22" s="423"/>
      <c r="F22" s="423"/>
      <c r="G22" s="423"/>
      <c r="H22" s="423"/>
      <c r="I22" s="423"/>
      <c r="J22" s="430"/>
      <c r="K22" s="73" t="s">
        <v>183</v>
      </c>
      <c r="L22" s="70" t="s">
        <v>33</v>
      </c>
      <c r="M22" s="73" t="s">
        <v>11</v>
      </c>
      <c r="N22" s="221">
        <v>5</v>
      </c>
      <c r="O22" s="221">
        <v>4.5</v>
      </c>
      <c r="P22" s="221">
        <v>4</v>
      </c>
      <c r="Q22" s="221" t="s">
        <v>19</v>
      </c>
      <c r="R22" s="220"/>
      <c r="S22" s="222"/>
      <c r="T22" s="419"/>
      <c r="U22" s="419"/>
      <c r="V22" s="419"/>
      <c r="W22" s="419"/>
      <c r="X22" s="419"/>
      <c r="Y22" s="419"/>
      <c r="Z22" s="419"/>
    </row>
    <row r="23" spans="1:26" s="193" customFormat="1" x14ac:dyDescent="0.2">
      <c r="A23" s="424"/>
      <c r="B23" s="426"/>
      <c r="C23" s="430"/>
      <c r="D23" s="430"/>
      <c r="E23" s="423"/>
      <c r="F23" s="423"/>
      <c r="G23" s="423"/>
      <c r="H23" s="423"/>
      <c r="I23" s="423"/>
      <c r="J23" s="430"/>
      <c r="K23" s="73" t="s">
        <v>81</v>
      </c>
      <c r="L23" s="70" t="s">
        <v>162</v>
      </c>
      <c r="M23" s="73" t="s">
        <v>11</v>
      </c>
      <c r="N23" s="221">
        <v>100</v>
      </c>
      <c r="O23" s="221">
        <v>100</v>
      </c>
      <c r="P23" s="221">
        <v>100</v>
      </c>
      <c r="Q23" s="221" t="s">
        <v>19</v>
      </c>
      <c r="R23" s="220"/>
      <c r="S23" s="222"/>
      <c r="T23" s="419"/>
      <c r="U23" s="419"/>
      <c r="V23" s="419"/>
      <c r="W23" s="419"/>
      <c r="X23" s="419"/>
      <c r="Y23" s="419"/>
      <c r="Z23" s="419"/>
    </row>
    <row r="24" spans="1:26" s="193" customFormat="1" ht="25.5" x14ac:dyDescent="0.2">
      <c r="A24" s="424"/>
      <c r="B24" s="426"/>
      <c r="C24" s="430"/>
      <c r="D24" s="430"/>
      <c r="E24" s="423"/>
      <c r="F24" s="423"/>
      <c r="G24" s="423"/>
      <c r="H24" s="423"/>
      <c r="I24" s="423"/>
      <c r="J24" s="430"/>
      <c r="K24" s="73" t="s">
        <v>79</v>
      </c>
      <c r="L24" s="70" t="s">
        <v>163</v>
      </c>
      <c r="M24" s="73" t="s">
        <v>97</v>
      </c>
      <c r="N24" s="221">
        <v>3.7</v>
      </c>
      <c r="O24" s="221">
        <v>3.9</v>
      </c>
      <c r="P24" s="221">
        <v>3.9</v>
      </c>
      <c r="Q24" s="221" t="s">
        <v>19</v>
      </c>
      <c r="R24" s="220"/>
      <c r="T24" s="419"/>
      <c r="U24" s="420"/>
      <c r="V24" s="419"/>
      <c r="W24" s="421"/>
      <c r="X24" s="421"/>
      <c r="Y24" s="421"/>
      <c r="Z24" s="419"/>
    </row>
    <row r="25" spans="1:26" s="193" customFormat="1" ht="25.5" x14ac:dyDescent="0.2">
      <c r="A25" s="424"/>
      <c r="B25" s="426"/>
      <c r="C25" s="430"/>
      <c r="D25" s="430"/>
      <c r="E25" s="423"/>
      <c r="F25" s="423"/>
      <c r="G25" s="423"/>
      <c r="H25" s="423"/>
      <c r="I25" s="423"/>
      <c r="J25" s="430"/>
      <c r="K25" s="73" t="s">
        <v>80</v>
      </c>
      <c r="L25" s="70" t="s">
        <v>164</v>
      </c>
      <c r="M25" s="73" t="s">
        <v>11</v>
      </c>
      <c r="N25" s="221">
        <v>62.4</v>
      </c>
      <c r="O25" s="221">
        <v>62.7</v>
      </c>
      <c r="P25" s="221">
        <v>62.9</v>
      </c>
      <c r="Q25" s="221" t="s">
        <v>19</v>
      </c>
      <c r="R25" s="220"/>
      <c r="T25" s="419"/>
      <c r="U25" s="419"/>
      <c r="V25" s="419"/>
      <c r="W25" s="419"/>
      <c r="X25" s="419"/>
      <c r="Y25" s="419"/>
      <c r="Z25" s="419"/>
    </row>
    <row r="26" spans="1:26" s="193" customFormat="1" ht="25.5" x14ac:dyDescent="0.2">
      <c r="A26" s="424"/>
      <c r="B26" s="426"/>
      <c r="C26" s="430"/>
      <c r="D26" s="430"/>
      <c r="E26" s="423"/>
      <c r="F26" s="423"/>
      <c r="G26" s="423"/>
      <c r="H26" s="423"/>
      <c r="I26" s="423"/>
      <c r="J26" s="430"/>
      <c r="K26" s="73" t="s">
        <v>208</v>
      </c>
      <c r="L26" s="70" t="s">
        <v>184</v>
      </c>
      <c r="M26" s="73" t="s">
        <v>11</v>
      </c>
      <c r="N26" s="221">
        <v>21.6</v>
      </c>
      <c r="O26" s="221">
        <v>21.6</v>
      </c>
      <c r="P26" s="221">
        <v>21.6</v>
      </c>
      <c r="Q26" s="221" t="s">
        <v>19</v>
      </c>
      <c r="R26" s="220"/>
      <c r="T26" s="419"/>
      <c r="U26" s="419"/>
      <c r="V26" s="419"/>
      <c r="W26" s="419"/>
      <c r="X26" s="419"/>
      <c r="Y26" s="419"/>
      <c r="Z26" s="419"/>
    </row>
    <row r="27" spans="1:26" s="193" customFormat="1" x14ac:dyDescent="0.2">
      <c r="A27" s="424"/>
      <c r="B27" s="426"/>
      <c r="C27" s="430"/>
      <c r="D27" s="430"/>
      <c r="E27" s="105" t="s">
        <v>14</v>
      </c>
      <c r="F27" s="107">
        <v>295.3</v>
      </c>
      <c r="G27" s="106">
        <v>313.60000000000002</v>
      </c>
      <c r="H27" s="106">
        <f>ROUND(G27*Lapas1!$B$1, 1)</f>
        <v>338.7</v>
      </c>
      <c r="I27" s="106">
        <f>ROUND(H27*Lapas1!$B$1, 1)</f>
        <v>365.8</v>
      </c>
      <c r="J27" s="108"/>
      <c r="K27" s="108"/>
      <c r="L27" s="109"/>
      <c r="M27" s="109"/>
      <c r="N27" s="110"/>
      <c r="O27" s="223"/>
      <c r="P27" s="223"/>
      <c r="Q27" s="223"/>
      <c r="R27" s="220"/>
    </row>
    <row r="28" spans="1:26" s="193" customFormat="1" x14ac:dyDescent="0.2">
      <c r="A28" s="424"/>
      <c r="B28" s="426"/>
      <c r="C28" s="430"/>
      <c r="D28" s="430"/>
      <c r="E28" s="105" t="s">
        <v>15</v>
      </c>
      <c r="F28" s="107">
        <v>1490.5419999999999</v>
      </c>
      <c r="G28" s="106">
        <v>1640.5</v>
      </c>
      <c r="H28" s="106">
        <f>ROUND(G28*Lapas1!$B$2, 1)</f>
        <v>1771.7</v>
      </c>
      <c r="I28" s="106">
        <f>ROUND(H28*Lapas1!$B$2, 1)</f>
        <v>1913.4</v>
      </c>
      <c r="J28" s="108"/>
      <c r="K28" s="108"/>
      <c r="L28" s="109"/>
      <c r="M28" s="109"/>
      <c r="N28" s="110"/>
      <c r="O28" s="223"/>
      <c r="P28" s="223"/>
      <c r="Q28" s="223"/>
      <c r="R28" s="220"/>
    </row>
    <row r="29" spans="1:26" s="193" customFormat="1" x14ac:dyDescent="0.2">
      <c r="A29" s="424"/>
      <c r="B29" s="426"/>
      <c r="C29" s="430"/>
      <c r="D29" s="430"/>
      <c r="E29" s="105" t="s">
        <v>17</v>
      </c>
      <c r="F29" s="107">
        <v>3.8</v>
      </c>
      <c r="G29" s="106">
        <v>6</v>
      </c>
      <c r="H29" s="106">
        <f>ROUND(G29*Lapas1!$B$3, 1)</f>
        <v>6.5</v>
      </c>
      <c r="I29" s="106">
        <f>ROUND(H29*Lapas1!$B$3, 1)</f>
        <v>7</v>
      </c>
      <c r="J29" s="108"/>
      <c r="K29" s="108"/>
      <c r="L29" s="109"/>
      <c r="M29" s="109"/>
      <c r="N29" s="110"/>
      <c r="O29" s="223"/>
      <c r="P29" s="223"/>
      <c r="Q29" s="223"/>
      <c r="R29" s="220"/>
    </row>
    <row r="30" spans="1:26" s="193" customFormat="1" x14ac:dyDescent="0.2">
      <c r="A30" s="424"/>
      <c r="B30" s="426"/>
      <c r="C30" s="430"/>
      <c r="D30" s="430"/>
      <c r="E30" s="184" t="s">
        <v>22</v>
      </c>
      <c r="F30" s="112">
        <f>SUM(F27:F29)</f>
        <v>1789.6419999999998</v>
      </c>
      <c r="G30" s="174">
        <f t="shared" ref="G30:I30" si="0">SUM(G27:G29)</f>
        <v>1960.1</v>
      </c>
      <c r="H30" s="112">
        <f t="shared" si="0"/>
        <v>2116.9</v>
      </c>
      <c r="I30" s="112">
        <f t="shared" si="0"/>
        <v>2286.2000000000003</v>
      </c>
      <c r="J30" s="108"/>
      <c r="K30" s="108"/>
      <c r="L30" s="109"/>
      <c r="M30" s="109"/>
      <c r="N30" s="110"/>
      <c r="O30" s="223"/>
      <c r="P30" s="223"/>
      <c r="Q30" s="223"/>
      <c r="R30" s="114">
        <f>(G30-F30)/F30</f>
        <v>9.5246982357365381E-2</v>
      </c>
    </row>
    <row r="31" spans="1:26" s="193" customFormat="1" ht="25.5" x14ac:dyDescent="0.2">
      <c r="A31" s="424" t="s">
        <v>0</v>
      </c>
      <c r="B31" s="426" t="s">
        <v>0</v>
      </c>
      <c r="C31" s="425" t="s">
        <v>10</v>
      </c>
      <c r="D31" s="425" t="s">
        <v>21</v>
      </c>
      <c r="E31" s="423" t="s">
        <v>255</v>
      </c>
      <c r="F31" s="423"/>
      <c r="G31" s="423"/>
      <c r="H31" s="423"/>
      <c r="I31" s="423"/>
      <c r="J31" s="430" t="s">
        <v>19</v>
      </c>
      <c r="K31" s="115" t="s">
        <v>199</v>
      </c>
      <c r="L31" s="115" t="s">
        <v>165</v>
      </c>
      <c r="M31" s="103" t="s">
        <v>11</v>
      </c>
      <c r="N31" s="221">
        <v>30</v>
      </c>
      <c r="O31" s="221">
        <v>30</v>
      </c>
      <c r="P31" s="221">
        <v>28</v>
      </c>
      <c r="Q31" s="224" t="s">
        <v>19</v>
      </c>
      <c r="R31" s="220"/>
      <c r="S31" s="222"/>
    </row>
    <row r="32" spans="1:26" s="193" customFormat="1" ht="25.5" x14ac:dyDescent="0.2">
      <c r="A32" s="424"/>
      <c r="B32" s="426"/>
      <c r="C32" s="425"/>
      <c r="D32" s="425"/>
      <c r="E32" s="423"/>
      <c r="F32" s="423"/>
      <c r="G32" s="423"/>
      <c r="H32" s="423"/>
      <c r="I32" s="423"/>
      <c r="J32" s="430"/>
      <c r="K32" s="115" t="s">
        <v>200</v>
      </c>
      <c r="L32" s="116" t="s">
        <v>33</v>
      </c>
      <c r="M32" s="103" t="s">
        <v>11</v>
      </c>
      <c r="N32" s="221">
        <v>3</v>
      </c>
      <c r="O32" s="221">
        <v>2.9</v>
      </c>
      <c r="P32" s="221">
        <v>2.8</v>
      </c>
      <c r="Q32" s="224" t="s">
        <v>19</v>
      </c>
      <c r="R32" s="220"/>
      <c r="S32" s="222"/>
    </row>
    <row r="33" spans="1:19" s="193" customFormat="1" x14ac:dyDescent="0.2">
      <c r="A33" s="424"/>
      <c r="B33" s="426"/>
      <c r="C33" s="425"/>
      <c r="D33" s="425"/>
      <c r="E33" s="423"/>
      <c r="F33" s="423"/>
      <c r="G33" s="423"/>
      <c r="H33" s="423"/>
      <c r="I33" s="423"/>
      <c r="J33" s="430"/>
      <c r="K33" s="115" t="s">
        <v>88</v>
      </c>
      <c r="L33" s="116" t="s">
        <v>162</v>
      </c>
      <c r="M33" s="103" t="s">
        <v>11</v>
      </c>
      <c r="N33" s="221">
        <v>100</v>
      </c>
      <c r="O33" s="221">
        <v>100</v>
      </c>
      <c r="P33" s="221">
        <v>100</v>
      </c>
      <c r="Q33" s="224" t="s">
        <v>19</v>
      </c>
      <c r="R33" s="220"/>
      <c r="S33" s="222"/>
    </row>
    <row r="34" spans="1:19" s="193" customFormat="1" ht="25.5" x14ac:dyDescent="0.2">
      <c r="A34" s="424"/>
      <c r="B34" s="426"/>
      <c r="C34" s="425"/>
      <c r="D34" s="425"/>
      <c r="E34" s="423"/>
      <c r="F34" s="423"/>
      <c r="G34" s="423"/>
      <c r="H34" s="423"/>
      <c r="I34" s="423"/>
      <c r="J34" s="430"/>
      <c r="K34" s="115" t="s">
        <v>89</v>
      </c>
      <c r="L34" s="116" t="s">
        <v>163</v>
      </c>
      <c r="M34" s="103" t="s">
        <v>97</v>
      </c>
      <c r="N34" s="221">
        <v>1.3</v>
      </c>
      <c r="O34" s="221">
        <v>1.4</v>
      </c>
      <c r="P34" s="221">
        <v>1.4</v>
      </c>
      <c r="Q34" s="224" t="s">
        <v>19</v>
      </c>
      <c r="R34" s="220"/>
    </row>
    <row r="35" spans="1:19" s="193" customFormat="1" ht="25.5" x14ac:dyDescent="0.2">
      <c r="A35" s="424"/>
      <c r="B35" s="426"/>
      <c r="C35" s="425"/>
      <c r="D35" s="425"/>
      <c r="E35" s="423"/>
      <c r="F35" s="423"/>
      <c r="G35" s="423"/>
      <c r="H35" s="423"/>
      <c r="I35" s="423"/>
      <c r="J35" s="430"/>
      <c r="K35" s="115" t="s">
        <v>90</v>
      </c>
      <c r="L35" s="104" t="s">
        <v>164</v>
      </c>
      <c r="M35" s="103" t="s">
        <v>11</v>
      </c>
      <c r="N35" s="221">
        <v>77</v>
      </c>
      <c r="O35" s="221">
        <v>78</v>
      </c>
      <c r="P35" s="221">
        <v>78</v>
      </c>
      <c r="Q35" s="224" t="s">
        <v>19</v>
      </c>
      <c r="R35" s="220"/>
    </row>
    <row r="36" spans="1:19" s="193" customFormat="1" ht="25.5" x14ac:dyDescent="0.2">
      <c r="A36" s="424"/>
      <c r="B36" s="426"/>
      <c r="C36" s="425"/>
      <c r="D36" s="425"/>
      <c r="E36" s="423"/>
      <c r="F36" s="423"/>
      <c r="G36" s="423"/>
      <c r="H36" s="423"/>
      <c r="I36" s="423"/>
      <c r="J36" s="430"/>
      <c r="K36" s="103" t="s">
        <v>207</v>
      </c>
      <c r="L36" s="104" t="s">
        <v>184</v>
      </c>
      <c r="M36" s="103" t="s">
        <v>11</v>
      </c>
      <c r="N36" s="221">
        <v>38</v>
      </c>
      <c r="O36" s="221">
        <v>38</v>
      </c>
      <c r="P36" s="221">
        <v>39</v>
      </c>
      <c r="Q36" s="224" t="s">
        <v>19</v>
      </c>
      <c r="R36" s="220"/>
    </row>
    <row r="37" spans="1:19" s="193" customFormat="1" x14ac:dyDescent="0.2">
      <c r="A37" s="424"/>
      <c r="B37" s="426"/>
      <c r="C37" s="425"/>
      <c r="D37" s="425"/>
      <c r="E37" s="105" t="s">
        <v>14</v>
      </c>
      <c r="F37" s="107">
        <v>182.8</v>
      </c>
      <c r="G37" s="106">
        <v>207.8</v>
      </c>
      <c r="H37" s="106">
        <f>ROUND(G37*Lapas1!$B$1, 1)</f>
        <v>224.4</v>
      </c>
      <c r="I37" s="106">
        <f>ROUND(H37*Lapas1!$B$1, 1)</f>
        <v>242.4</v>
      </c>
      <c r="J37" s="108"/>
      <c r="K37" s="108"/>
      <c r="L37" s="109"/>
      <c r="M37" s="109"/>
      <c r="N37" s="110"/>
      <c r="O37" s="223"/>
      <c r="P37" s="223"/>
      <c r="Q37" s="223"/>
      <c r="R37" s="220"/>
    </row>
    <row r="38" spans="1:19" s="193" customFormat="1" x14ac:dyDescent="0.2">
      <c r="A38" s="424"/>
      <c r="B38" s="426"/>
      <c r="C38" s="425"/>
      <c r="D38" s="425"/>
      <c r="E38" s="105" t="s">
        <v>15</v>
      </c>
      <c r="F38" s="107">
        <v>551.53399999999999</v>
      </c>
      <c r="G38" s="106">
        <v>618.1</v>
      </c>
      <c r="H38" s="106">
        <f>ROUND(G38*Lapas1!$B$2, 1)</f>
        <v>667.5</v>
      </c>
      <c r="I38" s="106">
        <f>ROUND(H38*Lapas1!$B$2, 1)</f>
        <v>720.9</v>
      </c>
      <c r="J38" s="108"/>
      <c r="K38" s="108"/>
      <c r="L38" s="109"/>
      <c r="M38" s="109"/>
      <c r="N38" s="110"/>
      <c r="O38" s="223"/>
      <c r="P38" s="223"/>
      <c r="Q38" s="223"/>
      <c r="R38" s="220"/>
    </row>
    <row r="39" spans="1:19" s="193" customFormat="1" x14ac:dyDescent="0.2">
      <c r="A39" s="424"/>
      <c r="B39" s="426"/>
      <c r="C39" s="425"/>
      <c r="D39" s="425"/>
      <c r="E39" s="105" t="s">
        <v>17</v>
      </c>
      <c r="F39" s="107">
        <f>2+1.5</f>
        <v>3.5</v>
      </c>
      <c r="G39" s="106">
        <v>3</v>
      </c>
      <c r="H39" s="106">
        <f>ROUND(G39*Lapas1!$B$3, 1)</f>
        <v>3.2</v>
      </c>
      <c r="I39" s="106">
        <f>ROUND(H39*Lapas1!$B$3, 1)</f>
        <v>3.5</v>
      </c>
      <c r="J39" s="108"/>
      <c r="K39" s="108"/>
      <c r="L39" s="109"/>
      <c r="M39" s="109"/>
      <c r="N39" s="110"/>
      <c r="O39" s="223"/>
      <c r="P39" s="223"/>
      <c r="Q39" s="223"/>
      <c r="R39" s="220"/>
    </row>
    <row r="40" spans="1:19" s="193" customFormat="1" x14ac:dyDescent="0.2">
      <c r="A40" s="424"/>
      <c r="B40" s="426"/>
      <c r="C40" s="425"/>
      <c r="D40" s="425"/>
      <c r="E40" s="184" t="s">
        <v>22</v>
      </c>
      <c r="F40" s="112">
        <f>SUM(F37:F39)</f>
        <v>737.83400000000006</v>
      </c>
      <c r="G40" s="174">
        <f t="shared" ref="G40" si="1">SUM(G37:G39)</f>
        <v>828.90000000000009</v>
      </c>
      <c r="H40" s="112">
        <f t="shared" ref="H40" si="2">SUM(H37:H39)</f>
        <v>895.1</v>
      </c>
      <c r="I40" s="112">
        <f t="shared" ref="I40" si="3">SUM(I37:I39)</f>
        <v>966.8</v>
      </c>
      <c r="J40" s="108"/>
      <c r="K40" s="108"/>
      <c r="L40" s="109"/>
      <c r="M40" s="109"/>
      <c r="N40" s="110"/>
      <c r="O40" s="223"/>
      <c r="P40" s="223"/>
      <c r="Q40" s="223"/>
      <c r="R40" s="114">
        <f>(G40-F40)/F40</f>
        <v>0.1234234258654386</v>
      </c>
    </row>
    <row r="41" spans="1:19" s="193" customFormat="1" ht="38.25" x14ac:dyDescent="0.2">
      <c r="A41" s="424" t="s">
        <v>0</v>
      </c>
      <c r="B41" s="426" t="s">
        <v>0</v>
      </c>
      <c r="C41" s="425" t="s">
        <v>24</v>
      </c>
      <c r="D41" s="425" t="s">
        <v>21</v>
      </c>
      <c r="E41" s="423" t="s">
        <v>256</v>
      </c>
      <c r="F41" s="423"/>
      <c r="G41" s="423"/>
      <c r="H41" s="423"/>
      <c r="I41" s="423"/>
      <c r="J41" s="430" t="s">
        <v>19</v>
      </c>
      <c r="K41" s="115" t="s">
        <v>201</v>
      </c>
      <c r="L41" s="116" t="s">
        <v>159</v>
      </c>
      <c r="M41" s="115" t="s">
        <v>11</v>
      </c>
      <c r="N41" s="221">
        <v>55</v>
      </c>
      <c r="O41" s="221">
        <v>57</v>
      </c>
      <c r="P41" s="221">
        <v>60</v>
      </c>
      <c r="Q41" s="224" t="s">
        <v>19</v>
      </c>
      <c r="R41" s="220"/>
      <c r="S41" s="222"/>
    </row>
    <row r="42" spans="1:19" s="193" customFormat="1" ht="25.5" x14ac:dyDescent="0.2">
      <c r="A42" s="424"/>
      <c r="B42" s="426"/>
      <c r="C42" s="425"/>
      <c r="D42" s="425"/>
      <c r="E42" s="423"/>
      <c r="F42" s="423"/>
      <c r="G42" s="423"/>
      <c r="H42" s="423"/>
      <c r="I42" s="423"/>
      <c r="J42" s="430"/>
      <c r="K42" s="115" t="s">
        <v>202</v>
      </c>
      <c r="L42" s="116" t="s">
        <v>33</v>
      </c>
      <c r="M42" s="115" t="s">
        <v>11</v>
      </c>
      <c r="N42" s="221">
        <v>3.5</v>
      </c>
      <c r="O42" s="221">
        <v>3.2</v>
      </c>
      <c r="P42" s="221">
        <v>2.8</v>
      </c>
      <c r="Q42" s="224" t="s">
        <v>19</v>
      </c>
      <c r="R42" s="220"/>
      <c r="S42" s="222"/>
    </row>
    <row r="43" spans="1:19" s="193" customFormat="1" x14ac:dyDescent="0.2">
      <c r="A43" s="424"/>
      <c r="B43" s="426"/>
      <c r="C43" s="425"/>
      <c r="D43" s="425"/>
      <c r="E43" s="423"/>
      <c r="F43" s="423"/>
      <c r="G43" s="423"/>
      <c r="H43" s="423"/>
      <c r="I43" s="423"/>
      <c r="J43" s="430"/>
      <c r="K43" s="115" t="s">
        <v>91</v>
      </c>
      <c r="L43" s="116" t="s">
        <v>162</v>
      </c>
      <c r="M43" s="115" t="s">
        <v>11</v>
      </c>
      <c r="N43" s="221">
        <v>100</v>
      </c>
      <c r="O43" s="221">
        <v>100</v>
      </c>
      <c r="P43" s="221">
        <v>100</v>
      </c>
      <c r="Q43" s="224" t="s">
        <v>19</v>
      </c>
      <c r="R43" s="220"/>
      <c r="S43" s="222"/>
    </row>
    <row r="44" spans="1:19" s="193" customFormat="1" ht="25.5" x14ac:dyDescent="0.2">
      <c r="A44" s="424"/>
      <c r="B44" s="426"/>
      <c r="C44" s="425"/>
      <c r="D44" s="425"/>
      <c r="E44" s="423"/>
      <c r="F44" s="423"/>
      <c r="G44" s="423"/>
      <c r="H44" s="423"/>
      <c r="I44" s="423"/>
      <c r="J44" s="430"/>
      <c r="K44" s="115" t="s">
        <v>92</v>
      </c>
      <c r="L44" s="116" t="s">
        <v>163</v>
      </c>
      <c r="M44" s="115" t="s">
        <v>97</v>
      </c>
      <c r="N44" s="221">
        <v>0.9</v>
      </c>
      <c r="O44" s="221">
        <v>1</v>
      </c>
      <c r="P44" s="221">
        <v>1.1000000000000001</v>
      </c>
      <c r="Q44" s="224" t="s">
        <v>19</v>
      </c>
      <c r="R44" s="220"/>
    </row>
    <row r="45" spans="1:19" s="193" customFormat="1" ht="25.5" x14ac:dyDescent="0.2">
      <c r="A45" s="424"/>
      <c r="B45" s="426"/>
      <c r="C45" s="425"/>
      <c r="D45" s="425"/>
      <c r="E45" s="423"/>
      <c r="F45" s="423"/>
      <c r="G45" s="423"/>
      <c r="H45" s="423"/>
      <c r="I45" s="423"/>
      <c r="J45" s="430"/>
      <c r="K45" s="115" t="s">
        <v>93</v>
      </c>
      <c r="L45" s="116" t="s">
        <v>164</v>
      </c>
      <c r="M45" s="115" t="s">
        <v>11</v>
      </c>
      <c r="N45" s="221">
        <v>65</v>
      </c>
      <c r="O45" s="221">
        <v>66</v>
      </c>
      <c r="P45" s="221">
        <v>67</v>
      </c>
      <c r="Q45" s="224" t="s">
        <v>19</v>
      </c>
      <c r="R45" s="220"/>
    </row>
    <row r="46" spans="1:19" s="193" customFormat="1" ht="25.5" x14ac:dyDescent="0.2">
      <c r="A46" s="424"/>
      <c r="B46" s="426"/>
      <c r="C46" s="425"/>
      <c r="D46" s="425"/>
      <c r="E46" s="423"/>
      <c r="F46" s="423"/>
      <c r="G46" s="423"/>
      <c r="H46" s="423"/>
      <c r="I46" s="423"/>
      <c r="J46" s="430"/>
      <c r="K46" s="103" t="s">
        <v>206</v>
      </c>
      <c r="L46" s="104" t="s">
        <v>184</v>
      </c>
      <c r="M46" s="103" t="s">
        <v>11</v>
      </c>
      <c r="N46" s="221">
        <v>22.21</v>
      </c>
      <c r="O46" s="221">
        <v>22.21</v>
      </c>
      <c r="P46" s="221">
        <v>22.6</v>
      </c>
      <c r="Q46" s="224" t="s">
        <v>19</v>
      </c>
      <c r="R46" s="220"/>
    </row>
    <row r="47" spans="1:19" s="193" customFormat="1" x14ac:dyDescent="0.2">
      <c r="A47" s="424"/>
      <c r="B47" s="426"/>
      <c r="C47" s="425"/>
      <c r="D47" s="425"/>
      <c r="E47" s="105" t="s">
        <v>14</v>
      </c>
      <c r="F47" s="107">
        <v>343.8</v>
      </c>
      <c r="G47" s="106">
        <v>389.4</v>
      </c>
      <c r="H47" s="106">
        <f>ROUND(G47*Lapas1!$B$1, 1)</f>
        <v>420.6</v>
      </c>
      <c r="I47" s="106">
        <f>ROUND(H47*Lapas1!$B$1, 1)</f>
        <v>454.2</v>
      </c>
      <c r="J47" s="108"/>
      <c r="K47" s="108"/>
      <c r="L47" s="109"/>
      <c r="M47" s="109"/>
      <c r="N47" s="110"/>
      <c r="O47" s="223"/>
      <c r="P47" s="223"/>
      <c r="Q47" s="223"/>
      <c r="R47" s="220"/>
    </row>
    <row r="48" spans="1:19" s="193" customFormat="1" x14ac:dyDescent="0.2">
      <c r="A48" s="424"/>
      <c r="B48" s="426"/>
      <c r="C48" s="425"/>
      <c r="D48" s="425"/>
      <c r="E48" s="105" t="s">
        <v>15</v>
      </c>
      <c r="F48" s="107">
        <v>2061.2800000000002</v>
      </c>
      <c r="G48" s="106">
        <v>2394.4</v>
      </c>
      <c r="H48" s="106">
        <f>ROUND(G48*Lapas1!$B$2, 1)</f>
        <v>2586</v>
      </c>
      <c r="I48" s="106">
        <f>ROUND(H48*Lapas1!$B$2, 1)</f>
        <v>2792.9</v>
      </c>
      <c r="J48" s="108"/>
      <c r="K48" s="108"/>
      <c r="L48" s="109"/>
      <c r="M48" s="109"/>
      <c r="N48" s="110"/>
      <c r="O48" s="223"/>
      <c r="P48" s="223"/>
      <c r="Q48" s="223"/>
      <c r="R48" s="220"/>
    </row>
    <row r="49" spans="1:19" s="193" customFormat="1" x14ac:dyDescent="0.2">
      <c r="A49" s="424"/>
      <c r="B49" s="426"/>
      <c r="C49" s="425"/>
      <c r="D49" s="425"/>
      <c r="E49" s="105" t="s">
        <v>17</v>
      </c>
      <c r="F49" s="107">
        <v>117.3</v>
      </c>
      <c r="G49" s="106">
        <f>106+15.1</f>
        <v>121.1</v>
      </c>
      <c r="H49" s="106">
        <f>ROUND(G49*Lapas1!$B$3, 1)</f>
        <v>130.80000000000001</v>
      </c>
      <c r="I49" s="106">
        <f>ROUND(H49*Lapas1!$B$3, 1)</f>
        <v>141.30000000000001</v>
      </c>
      <c r="J49" s="108"/>
      <c r="K49" s="108"/>
      <c r="L49" s="109"/>
      <c r="M49" s="109"/>
      <c r="N49" s="110"/>
      <c r="O49" s="223"/>
      <c r="P49" s="223"/>
      <c r="Q49" s="223"/>
      <c r="R49" s="220"/>
    </row>
    <row r="50" spans="1:19" s="193" customFormat="1" x14ac:dyDescent="0.2">
      <c r="A50" s="424"/>
      <c r="B50" s="426"/>
      <c r="C50" s="425"/>
      <c r="D50" s="425"/>
      <c r="E50" s="184" t="s">
        <v>22</v>
      </c>
      <c r="F50" s="112">
        <f>SUM(F47:F49)</f>
        <v>2522.3800000000006</v>
      </c>
      <c r="G50" s="174">
        <f t="shared" ref="G50" si="4">SUM(G47:G49)</f>
        <v>2904.9</v>
      </c>
      <c r="H50" s="112">
        <f t="shared" ref="H50" si="5">SUM(H47:H49)</f>
        <v>3137.4</v>
      </c>
      <c r="I50" s="112">
        <f t="shared" ref="I50" si="6">SUM(I47:I49)</f>
        <v>3388.4</v>
      </c>
      <c r="J50" s="108"/>
      <c r="K50" s="108"/>
      <c r="L50" s="109"/>
      <c r="M50" s="109"/>
      <c r="N50" s="110"/>
      <c r="O50" s="223"/>
      <c r="P50" s="223"/>
      <c r="Q50" s="223"/>
      <c r="R50" s="114">
        <f>(G50-F50)/F50</f>
        <v>0.15165042539189155</v>
      </c>
    </row>
    <row r="51" spans="1:19" s="193" customFormat="1" ht="25.5" x14ac:dyDescent="0.2">
      <c r="A51" s="424" t="s">
        <v>0</v>
      </c>
      <c r="B51" s="426" t="s">
        <v>0</v>
      </c>
      <c r="C51" s="425" t="s">
        <v>25</v>
      </c>
      <c r="D51" s="425" t="s">
        <v>21</v>
      </c>
      <c r="E51" s="423" t="s">
        <v>257</v>
      </c>
      <c r="F51" s="423"/>
      <c r="G51" s="423"/>
      <c r="H51" s="423"/>
      <c r="I51" s="423"/>
      <c r="J51" s="430" t="s">
        <v>19</v>
      </c>
      <c r="K51" s="115" t="s">
        <v>185</v>
      </c>
      <c r="L51" s="282" t="s">
        <v>33</v>
      </c>
      <c r="M51" s="283" t="s">
        <v>11</v>
      </c>
      <c r="N51" s="221">
        <v>3</v>
      </c>
      <c r="O51" s="221">
        <v>3</v>
      </c>
      <c r="P51" s="221">
        <v>3</v>
      </c>
      <c r="Q51" s="224" t="s">
        <v>19</v>
      </c>
      <c r="R51" s="220"/>
      <c r="S51" s="222"/>
    </row>
    <row r="52" spans="1:19" s="193" customFormat="1" x14ac:dyDescent="0.2">
      <c r="A52" s="424"/>
      <c r="B52" s="426"/>
      <c r="C52" s="425"/>
      <c r="D52" s="425"/>
      <c r="E52" s="423"/>
      <c r="F52" s="423"/>
      <c r="G52" s="423"/>
      <c r="H52" s="423"/>
      <c r="I52" s="423"/>
      <c r="J52" s="430"/>
      <c r="K52" s="115" t="s">
        <v>94</v>
      </c>
      <c r="L52" s="282" t="s">
        <v>162</v>
      </c>
      <c r="M52" s="283" t="s">
        <v>11</v>
      </c>
      <c r="N52" s="221">
        <v>100</v>
      </c>
      <c r="O52" s="221">
        <v>100</v>
      </c>
      <c r="P52" s="221">
        <v>100</v>
      </c>
      <c r="Q52" s="224" t="s">
        <v>19</v>
      </c>
      <c r="R52" s="220"/>
      <c r="S52" s="222"/>
    </row>
    <row r="53" spans="1:19" s="193" customFormat="1" ht="25.5" x14ac:dyDescent="0.2">
      <c r="A53" s="424"/>
      <c r="B53" s="426"/>
      <c r="C53" s="425"/>
      <c r="D53" s="425"/>
      <c r="E53" s="423"/>
      <c r="F53" s="423"/>
      <c r="G53" s="423"/>
      <c r="H53" s="423"/>
      <c r="I53" s="423"/>
      <c r="J53" s="430"/>
      <c r="K53" s="115" t="s">
        <v>95</v>
      </c>
      <c r="L53" s="282" t="s">
        <v>904</v>
      </c>
      <c r="M53" s="283" t="s">
        <v>12</v>
      </c>
      <c r="N53" s="221">
        <v>20</v>
      </c>
      <c r="O53" s="221">
        <v>22</v>
      </c>
      <c r="P53" s="221">
        <v>25</v>
      </c>
      <c r="Q53" s="224" t="s">
        <v>19</v>
      </c>
      <c r="R53" s="220"/>
    </row>
    <row r="54" spans="1:19" s="193" customFormat="1" ht="25.5" x14ac:dyDescent="0.2">
      <c r="A54" s="424"/>
      <c r="B54" s="426"/>
      <c r="C54" s="425"/>
      <c r="D54" s="425"/>
      <c r="E54" s="423"/>
      <c r="F54" s="423"/>
      <c r="G54" s="423"/>
      <c r="H54" s="423"/>
      <c r="I54" s="423"/>
      <c r="J54" s="430"/>
      <c r="K54" s="115" t="s">
        <v>96</v>
      </c>
      <c r="L54" s="282" t="s">
        <v>164</v>
      </c>
      <c r="M54" s="283" t="s">
        <v>11</v>
      </c>
      <c r="N54" s="221">
        <v>65</v>
      </c>
      <c r="O54" s="221">
        <v>70</v>
      </c>
      <c r="P54" s="221">
        <v>75</v>
      </c>
      <c r="Q54" s="224" t="s">
        <v>19</v>
      </c>
      <c r="R54" s="220"/>
    </row>
    <row r="55" spans="1:19" s="193" customFormat="1" x14ac:dyDescent="0.2">
      <c r="A55" s="424"/>
      <c r="B55" s="426"/>
      <c r="C55" s="425"/>
      <c r="D55" s="425"/>
      <c r="E55" s="423"/>
      <c r="F55" s="423"/>
      <c r="G55" s="423"/>
      <c r="H55" s="423"/>
      <c r="I55" s="423"/>
      <c r="J55" s="430"/>
      <c r="K55" s="115" t="s">
        <v>186</v>
      </c>
      <c r="L55" s="282" t="s">
        <v>85</v>
      </c>
      <c r="M55" s="283" t="s">
        <v>11</v>
      </c>
      <c r="N55" s="221">
        <v>45</v>
      </c>
      <c r="O55" s="221">
        <v>45</v>
      </c>
      <c r="P55" s="221">
        <v>45</v>
      </c>
      <c r="Q55" s="224" t="s">
        <v>19</v>
      </c>
      <c r="R55" s="220"/>
    </row>
    <row r="56" spans="1:19" s="193" customFormat="1" x14ac:dyDescent="0.2">
      <c r="A56" s="424"/>
      <c r="B56" s="426"/>
      <c r="C56" s="425"/>
      <c r="D56" s="425"/>
      <c r="E56" s="423"/>
      <c r="F56" s="423"/>
      <c r="G56" s="423"/>
      <c r="H56" s="423"/>
      <c r="I56" s="423"/>
      <c r="J56" s="430"/>
      <c r="K56" s="103" t="s">
        <v>205</v>
      </c>
      <c r="L56" s="70" t="s">
        <v>212</v>
      </c>
      <c r="M56" s="73" t="s">
        <v>11</v>
      </c>
      <c r="N56" s="221">
        <v>0.9</v>
      </c>
      <c r="O56" s="221">
        <v>0.9</v>
      </c>
      <c r="P56" s="221">
        <v>0.9</v>
      </c>
      <c r="Q56" s="224" t="s">
        <v>19</v>
      </c>
      <c r="R56" s="220"/>
    </row>
    <row r="57" spans="1:19" s="193" customFormat="1" x14ac:dyDescent="0.2">
      <c r="A57" s="424"/>
      <c r="B57" s="426"/>
      <c r="C57" s="425"/>
      <c r="D57" s="425"/>
      <c r="E57" s="105" t="s">
        <v>14</v>
      </c>
      <c r="F57" s="107">
        <v>31.6</v>
      </c>
      <c r="G57" s="106">
        <v>41.1</v>
      </c>
      <c r="H57" s="106">
        <f>ROUND(G57*Lapas1!$B$1, 1)</f>
        <v>44.4</v>
      </c>
      <c r="I57" s="106">
        <f>ROUND(H57*Lapas1!$B$1, 1)</f>
        <v>48</v>
      </c>
      <c r="J57" s="108"/>
      <c r="K57" s="108"/>
      <c r="L57" s="109"/>
      <c r="M57" s="109"/>
      <c r="N57" s="110"/>
      <c r="O57" s="223"/>
      <c r="P57" s="223"/>
      <c r="Q57" s="223"/>
      <c r="R57" s="220"/>
    </row>
    <row r="58" spans="1:19" s="193" customFormat="1" x14ac:dyDescent="0.2">
      <c r="A58" s="424"/>
      <c r="B58" s="426"/>
      <c r="C58" s="425"/>
      <c r="D58" s="425"/>
      <c r="E58" s="105" t="s">
        <v>15</v>
      </c>
      <c r="F58" s="107">
        <v>1623.306</v>
      </c>
      <c r="G58" s="106">
        <f>994.7+847</f>
        <v>1841.7</v>
      </c>
      <c r="H58" s="106">
        <f>ROUND(G58*Lapas1!$B$2, 1)</f>
        <v>1989</v>
      </c>
      <c r="I58" s="106">
        <f>ROUND(H58*Lapas1!$B$2, 1)</f>
        <v>2148.1</v>
      </c>
      <c r="J58" s="108"/>
      <c r="K58" s="108"/>
      <c r="L58" s="109"/>
      <c r="M58" s="109"/>
      <c r="N58" s="110"/>
      <c r="O58" s="223"/>
      <c r="P58" s="223"/>
      <c r="Q58" s="223"/>
      <c r="R58" s="220"/>
    </row>
    <row r="59" spans="1:19" s="193" customFormat="1" x14ac:dyDescent="0.2">
      <c r="A59" s="424"/>
      <c r="B59" s="426"/>
      <c r="C59" s="425"/>
      <c r="D59" s="425"/>
      <c r="E59" s="105" t="s">
        <v>17</v>
      </c>
      <c r="F59" s="107">
        <v>20.6</v>
      </c>
      <c r="G59" s="106">
        <v>25</v>
      </c>
      <c r="H59" s="106">
        <f>ROUND(G59*Lapas1!$B$3, 1)</f>
        <v>27</v>
      </c>
      <c r="I59" s="106">
        <f>ROUND(H59*Lapas1!$B$3, 1)</f>
        <v>29.2</v>
      </c>
      <c r="J59" s="108"/>
      <c r="K59" s="108"/>
      <c r="L59" s="109"/>
      <c r="M59" s="109"/>
      <c r="N59" s="110"/>
      <c r="O59" s="223"/>
      <c r="P59" s="223"/>
      <c r="Q59" s="223"/>
      <c r="R59" s="220"/>
    </row>
    <row r="60" spans="1:19" s="193" customFormat="1" x14ac:dyDescent="0.2">
      <c r="A60" s="424"/>
      <c r="B60" s="426"/>
      <c r="C60" s="425"/>
      <c r="D60" s="425"/>
      <c r="E60" s="184" t="s">
        <v>22</v>
      </c>
      <c r="F60" s="112">
        <f>SUM(F57:F59)</f>
        <v>1675.5059999999999</v>
      </c>
      <c r="G60" s="174">
        <f t="shared" ref="G60" si="7">SUM(G57:G59)</f>
        <v>1907.8</v>
      </c>
      <c r="H60" s="112">
        <f t="shared" ref="H60" si="8">SUM(H57:H59)</f>
        <v>2060.4</v>
      </c>
      <c r="I60" s="112">
        <f t="shared" ref="I60" si="9">SUM(I57:I59)</f>
        <v>2225.2999999999997</v>
      </c>
      <c r="J60" s="108"/>
      <c r="K60" s="108"/>
      <c r="L60" s="109"/>
      <c r="M60" s="109"/>
      <c r="N60" s="110"/>
      <c r="O60" s="223"/>
      <c r="P60" s="223"/>
      <c r="Q60" s="223"/>
      <c r="R60" s="114">
        <f>(G60-F60)/F60</f>
        <v>0.13864110304588592</v>
      </c>
    </row>
    <row r="61" spans="1:19" s="193" customFormat="1" ht="38.25" x14ac:dyDescent="0.2">
      <c r="A61" s="424" t="s">
        <v>0</v>
      </c>
      <c r="B61" s="426" t="s">
        <v>0</v>
      </c>
      <c r="C61" s="425" t="s">
        <v>26</v>
      </c>
      <c r="D61" s="425" t="s">
        <v>21</v>
      </c>
      <c r="E61" s="423" t="s">
        <v>258</v>
      </c>
      <c r="F61" s="423"/>
      <c r="G61" s="423"/>
      <c r="H61" s="423"/>
      <c r="I61" s="423"/>
      <c r="J61" s="430" t="s">
        <v>19</v>
      </c>
      <c r="K61" s="103" t="s">
        <v>203</v>
      </c>
      <c r="L61" s="104" t="s">
        <v>159</v>
      </c>
      <c r="M61" s="103" t="s">
        <v>11</v>
      </c>
      <c r="N61" s="221">
        <v>32</v>
      </c>
      <c r="O61" s="221">
        <v>35</v>
      </c>
      <c r="P61" s="221">
        <v>38</v>
      </c>
      <c r="Q61" s="221" t="s">
        <v>19</v>
      </c>
      <c r="R61" s="220"/>
      <c r="S61" s="222"/>
    </row>
    <row r="62" spans="1:19" s="193" customFormat="1" ht="25.5" x14ac:dyDescent="0.2">
      <c r="A62" s="424"/>
      <c r="B62" s="426"/>
      <c r="C62" s="425"/>
      <c r="D62" s="425"/>
      <c r="E62" s="423"/>
      <c r="F62" s="423"/>
      <c r="G62" s="423"/>
      <c r="H62" s="423"/>
      <c r="I62" s="423"/>
      <c r="J62" s="430"/>
      <c r="K62" s="103" t="s">
        <v>204</v>
      </c>
      <c r="L62" s="104" t="s">
        <v>33</v>
      </c>
      <c r="M62" s="103" t="s">
        <v>11</v>
      </c>
      <c r="N62" s="221">
        <v>3.1</v>
      </c>
      <c r="O62" s="221">
        <v>3</v>
      </c>
      <c r="P62" s="221">
        <v>2.9</v>
      </c>
      <c r="Q62" s="221" t="s">
        <v>19</v>
      </c>
      <c r="R62" s="220"/>
      <c r="S62" s="222"/>
    </row>
    <row r="63" spans="1:19" s="193" customFormat="1" x14ac:dyDescent="0.2">
      <c r="A63" s="424"/>
      <c r="B63" s="426"/>
      <c r="C63" s="425"/>
      <c r="D63" s="425"/>
      <c r="E63" s="423"/>
      <c r="F63" s="423"/>
      <c r="G63" s="423"/>
      <c r="H63" s="423"/>
      <c r="I63" s="423"/>
      <c r="J63" s="430"/>
      <c r="K63" s="103" t="s">
        <v>98</v>
      </c>
      <c r="L63" s="104" t="s">
        <v>162</v>
      </c>
      <c r="M63" s="103" t="s">
        <v>11</v>
      </c>
      <c r="N63" s="221">
        <v>100</v>
      </c>
      <c r="O63" s="221">
        <v>100</v>
      </c>
      <c r="P63" s="221">
        <v>100</v>
      </c>
      <c r="Q63" s="221" t="s">
        <v>19</v>
      </c>
      <c r="R63" s="220"/>
      <c r="S63" s="222"/>
    </row>
    <row r="64" spans="1:19" s="193" customFormat="1" ht="25.5" x14ac:dyDescent="0.2">
      <c r="A64" s="424"/>
      <c r="B64" s="426"/>
      <c r="C64" s="425"/>
      <c r="D64" s="425"/>
      <c r="E64" s="423"/>
      <c r="F64" s="423"/>
      <c r="G64" s="423"/>
      <c r="H64" s="423"/>
      <c r="I64" s="423"/>
      <c r="J64" s="430"/>
      <c r="K64" s="103" t="s">
        <v>99</v>
      </c>
      <c r="L64" s="104" t="s">
        <v>163</v>
      </c>
      <c r="M64" s="103" t="s">
        <v>97</v>
      </c>
      <c r="N64" s="221">
        <v>0.7</v>
      </c>
      <c r="O64" s="221">
        <v>0.72</v>
      </c>
      <c r="P64" s="221">
        <v>0.75</v>
      </c>
      <c r="Q64" s="221" t="s">
        <v>19</v>
      </c>
      <c r="R64" s="220"/>
    </row>
    <row r="65" spans="1:21" s="193" customFormat="1" ht="25.5" x14ac:dyDescent="0.2">
      <c r="A65" s="424"/>
      <c r="B65" s="426"/>
      <c r="C65" s="425"/>
      <c r="D65" s="425"/>
      <c r="E65" s="423"/>
      <c r="F65" s="423"/>
      <c r="G65" s="423"/>
      <c r="H65" s="423"/>
      <c r="I65" s="423"/>
      <c r="J65" s="430"/>
      <c r="K65" s="103" t="s">
        <v>100</v>
      </c>
      <c r="L65" s="104" t="s">
        <v>164</v>
      </c>
      <c r="M65" s="103" t="s">
        <v>11</v>
      </c>
      <c r="N65" s="221">
        <v>56.7</v>
      </c>
      <c r="O65" s="221">
        <v>58</v>
      </c>
      <c r="P65" s="221">
        <v>60</v>
      </c>
      <c r="Q65" s="221" t="s">
        <v>19</v>
      </c>
      <c r="R65" s="220"/>
    </row>
    <row r="66" spans="1:21" s="193" customFormat="1" ht="25.5" x14ac:dyDescent="0.2">
      <c r="A66" s="424"/>
      <c r="B66" s="426"/>
      <c r="C66" s="425"/>
      <c r="D66" s="425"/>
      <c r="E66" s="423"/>
      <c r="F66" s="423"/>
      <c r="G66" s="423"/>
      <c r="H66" s="423"/>
      <c r="I66" s="423"/>
      <c r="J66" s="430"/>
      <c r="K66" s="103" t="s">
        <v>209</v>
      </c>
      <c r="L66" s="104" t="s">
        <v>184</v>
      </c>
      <c r="M66" s="103" t="s">
        <v>11</v>
      </c>
      <c r="N66" s="221">
        <v>33.159999999999997</v>
      </c>
      <c r="O66" s="221">
        <v>34</v>
      </c>
      <c r="P66" s="221">
        <v>34.5</v>
      </c>
      <c r="Q66" s="221" t="s">
        <v>19</v>
      </c>
      <c r="R66" s="220"/>
    </row>
    <row r="67" spans="1:21" s="193" customFormat="1" x14ac:dyDescent="0.2">
      <c r="A67" s="424"/>
      <c r="B67" s="426"/>
      <c r="C67" s="425"/>
      <c r="D67" s="425"/>
      <c r="E67" s="105" t="s">
        <v>14</v>
      </c>
      <c r="F67" s="264">
        <v>475</v>
      </c>
      <c r="G67" s="106">
        <v>371.5</v>
      </c>
      <c r="H67" s="106">
        <f>ROUND(G67*Lapas1!$B$1, 1)</f>
        <v>401.2</v>
      </c>
      <c r="I67" s="106">
        <f>ROUND(H67*Lapas1!$B$1, 1)</f>
        <v>433.3</v>
      </c>
      <c r="J67" s="108"/>
      <c r="K67" s="108"/>
      <c r="L67" s="109"/>
      <c r="M67" s="109"/>
      <c r="N67" s="110"/>
      <c r="O67" s="223"/>
      <c r="P67" s="223"/>
      <c r="Q67" s="223"/>
      <c r="R67" s="220"/>
    </row>
    <row r="68" spans="1:21" s="193" customFormat="1" x14ac:dyDescent="0.2">
      <c r="A68" s="424"/>
      <c r="B68" s="426"/>
      <c r="C68" s="425"/>
      <c r="D68" s="425"/>
      <c r="E68" s="105" t="s">
        <v>15</v>
      </c>
      <c r="F68" s="107">
        <v>2112.3530000000001</v>
      </c>
      <c r="G68" s="106">
        <v>2411</v>
      </c>
      <c r="H68" s="106">
        <f>ROUND(G68*Lapas1!$B$2, 1)</f>
        <v>2603.9</v>
      </c>
      <c r="I68" s="106">
        <f>ROUND(H68*Lapas1!$B$2, 1)</f>
        <v>2812.2</v>
      </c>
      <c r="J68" s="108"/>
      <c r="K68" s="108"/>
      <c r="L68" s="109"/>
      <c r="M68" s="109"/>
      <c r="N68" s="110"/>
      <c r="O68" s="223"/>
      <c r="P68" s="223"/>
      <c r="Q68" s="223"/>
      <c r="R68" s="220"/>
    </row>
    <row r="69" spans="1:21" s="193" customFormat="1" x14ac:dyDescent="0.2">
      <c r="A69" s="424"/>
      <c r="B69" s="426"/>
      <c r="C69" s="425"/>
      <c r="D69" s="425"/>
      <c r="E69" s="105" t="s">
        <v>17</v>
      </c>
      <c r="F69" s="107">
        <v>39.6</v>
      </c>
      <c r="G69" s="106">
        <v>130</v>
      </c>
      <c r="H69" s="106">
        <f>ROUND(G69*Lapas1!$B$3, 1)</f>
        <v>140.4</v>
      </c>
      <c r="I69" s="106">
        <f>ROUND(H69*Lapas1!$B$3, 1)</f>
        <v>151.6</v>
      </c>
      <c r="J69" s="108"/>
      <c r="K69" s="108"/>
      <c r="L69" s="109"/>
      <c r="M69" s="109"/>
      <c r="N69" s="110"/>
      <c r="O69" s="223"/>
      <c r="P69" s="223"/>
      <c r="Q69" s="223"/>
      <c r="R69" s="220"/>
    </row>
    <row r="70" spans="1:21" s="193" customFormat="1" x14ac:dyDescent="0.2">
      <c r="A70" s="424"/>
      <c r="B70" s="426"/>
      <c r="C70" s="425"/>
      <c r="D70" s="425"/>
      <c r="E70" s="184" t="s">
        <v>22</v>
      </c>
      <c r="F70" s="112">
        <f>SUM(F67:F69)</f>
        <v>2626.953</v>
      </c>
      <c r="G70" s="174">
        <f t="shared" ref="G70" si="10">SUM(G67:G69)</f>
        <v>2912.5</v>
      </c>
      <c r="H70" s="112">
        <f t="shared" ref="H70" si="11">SUM(H67:H69)</f>
        <v>3145.5</v>
      </c>
      <c r="I70" s="112">
        <f t="shared" ref="I70" si="12">SUM(I67:I69)</f>
        <v>3397.1</v>
      </c>
      <c r="J70" s="108"/>
      <c r="K70" s="108"/>
      <c r="L70" s="109"/>
      <c r="M70" s="109"/>
      <c r="N70" s="110"/>
      <c r="O70" s="223"/>
      <c r="P70" s="223"/>
      <c r="Q70" s="223"/>
      <c r="R70" s="114">
        <f>(G70-F70)/F70</f>
        <v>0.10869893751429889</v>
      </c>
    </row>
    <row r="71" spans="1:21" s="193" customFormat="1" ht="38.25" x14ac:dyDescent="0.2">
      <c r="A71" s="424" t="s">
        <v>0</v>
      </c>
      <c r="B71" s="426" t="s">
        <v>0</v>
      </c>
      <c r="C71" s="425" t="s">
        <v>27</v>
      </c>
      <c r="D71" s="425" t="s">
        <v>21</v>
      </c>
      <c r="E71" s="423" t="s">
        <v>259</v>
      </c>
      <c r="F71" s="423"/>
      <c r="G71" s="423"/>
      <c r="H71" s="423"/>
      <c r="I71" s="423"/>
      <c r="J71" s="430" t="s">
        <v>19</v>
      </c>
      <c r="K71" s="103" t="s">
        <v>210</v>
      </c>
      <c r="L71" s="104" t="s">
        <v>159</v>
      </c>
      <c r="M71" s="103" t="s">
        <v>11</v>
      </c>
      <c r="N71" s="221">
        <v>50</v>
      </c>
      <c r="O71" s="221">
        <v>50</v>
      </c>
      <c r="P71" s="221">
        <v>50</v>
      </c>
      <c r="Q71" s="224" t="s">
        <v>19</v>
      </c>
      <c r="R71" s="220"/>
      <c r="S71" s="222"/>
      <c r="U71" s="225"/>
    </row>
    <row r="72" spans="1:21" s="193" customFormat="1" ht="25.5" x14ac:dyDescent="0.2">
      <c r="A72" s="424"/>
      <c r="B72" s="426"/>
      <c r="C72" s="425"/>
      <c r="D72" s="425"/>
      <c r="E72" s="423"/>
      <c r="F72" s="423"/>
      <c r="G72" s="423"/>
      <c r="H72" s="423"/>
      <c r="I72" s="423"/>
      <c r="J72" s="430"/>
      <c r="K72" s="103" t="s">
        <v>211</v>
      </c>
      <c r="L72" s="104" t="s">
        <v>33</v>
      </c>
      <c r="M72" s="103" t="s">
        <v>11</v>
      </c>
      <c r="N72" s="221">
        <v>3</v>
      </c>
      <c r="O72" s="221">
        <v>3</v>
      </c>
      <c r="P72" s="221">
        <v>3</v>
      </c>
      <c r="Q72" s="224" t="s">
        <v>19</v>
      </c>
      <c r="R72" s="220"/>
      <c r="S72" s="222"/>
    </row>
    <row r="73" spans="1:21" s="193" customFormat="1" x14ac:dyDescent="0.2">
      <c r="A73" s="424"/>
      <c r="B73" s="426"/>
      <c r="C73" s="425"/>
      <c r="D73" s="425"/>
      <c r="E73" s="423"/>
      <c r="F73" s="423"/>
      <c r="G73" s="423"/>
      <c r="H73" s="423"/>
      <c r="I73" s="423"/>
      <c r="J73" s="430"/>
      <c r="K73" s="103" t="s">
        <v>101</v>
      </c>
      <c r="L73" s="104" t="s">
        <v>162</v>
      </c>
      <c r="M73" s="103" t="s">
        <v>11</v>
      </c>
      <c r="N73" s="221">
        <v>100</v>
      </c>
      <c r="O73" s="221">
        <v>100</v>
      </c>
      <c r="P73" s="221">
        <v>100</v>
      </c>
      <c r="Q73" s="224" t="s">
        <v>19</v>
      </c>
      <c r="R73" s="220"/>
      <c r="S73" s="222"/>
    </row>
    <row r="74" spans="1:21" s="193" customFormat="1" ht="25.5" x14ac:dyDescent="0.2">
      <c r="A74" s="424"/>
      <c r="B74" s="426"/>
      <c r="C74" s="425"/>
      <c r="D74" s="425"/>
      <c r="E74" s="423"/>
      <c r="F74" s="423"/>
      <c r="G74" s="423"/>
      <c r="H74" s="423"/>
      <c r="I74" s="423"/>
      <c r="J74" s="430"/>
      <c r="K74" s="103" t="s">
        <v>102</v>
      </c>
      <c r="L74" s="104" t="s">
        <v>163</v>
      </c>
      <c r="M74" s="103" t="s">
        <v>97</v>
      </c>
      <c r="N74" s="221">
        <v>6</v>
      </c>
      <c r="O74" s="221">
        <v>6</v>
      </c>
      <c r="P74" s="221">
        <v>6</v>
      </c>
      <c r="Q74" s="224" t="s">
        <v>19</v>
      </c>
      <c r="R74" s="220"/>
    </row>
    <row r="75" spans="1:21" s="193" customFormat="1" ht="25.5" x14ac:dyDescent="0.2">
      <c r="A75" s="424"/>
      <c r="B75" s="426"/>
      <c r="C75" s="425"/>
      <c r="D75" s="425"/>
      <c r="E75" s="423"/>
      <c r="F75" s="423"/>
      <c r="G75" s="423"/>
      <c r="H75" s="423"/>
      <c r="I75" s="423"/>
      <c r="J75" s="430"/>
      <c r="K75" s="103" t="s">
        <v>103</v>
      </c>
      <c r="L75" s="104" t="s">
        <v>164</v>
      </c>
      <c r="M75" s="103" t="s">
        <v>11</v>
      </c>
      <c r="N75" s="221">
        <v>78</v>
      </c>
      <c r="O75" s="221">
        <v>80</v>
      </c>
      <c r="P75" s="221">
        <v>80</v>
      </c>
      <c r="Q75" s="224" t="s">
        <v>19</v>
      </c>
      <c r="R75" s="220"/>
    </row>
    <row r="76" spans="1:21" s="193" customFormat="1" ht="25.5" x14ac:dyDescent="0.2">
      <c r="A76" s="424"/>
      <c r="B76" s="426"/>
      <c r="C76" s="425"/>
      <c r="D76" s="425"/>
      <c r="E76" s="423"/>
      <c r="F76" s="423"/>
      <c r="G76" s="423"/>
      <c r="H76" s="423"/>
      <c r="I76" s="423"/>
      <c r="J76" s="430"/>
      <c r="K76" s="103" t="s">
        <v>213</v>
      </c>
      <c r="L76" s="104" t="s">
        <v>184</v>
      </c>
      <c r="M76" s="103" t="s">
        <v>11</v>
      </c>
      <c r="N76" s="221">
        <v>42</v>
      </c>
      <c r="O76" s="221">
        <v>42</v>
      </c>
      <c r="P76" s="221">
        <v>42</v>
      </c>
      <c r="Q76" s="224" t="s">
        <v>19</v>
      </c>
      <c r="R76" s="220"/>
    </row>
    <row r="77" spans="1:21" s="193" customFormat="1" x14ac:dyDescent="0.2">
      <c r="A77" s="424"/>
      <c r="B77" s="426"/>
      <c r="C77" s="425"/>
      <c r="D77" s="425"/>
      <c r="E77" s="105" t="s">
        <v>14</v>
      </c>
      <c r="F77" s="107">
        <v>670.9</v>
      </c>
      <c r="G77" s="106">
        <v>776.4</v>
      </c>
      <c r="H77" s="106">
        <f>ROUND(G77*Lapas1!$B$1, 1)</f>
        <v>838.5</v>
      </c>
      <c r="I77" s="106">
        <f>ROUND(H77*Lapas1!$B$1, 1)</f>
        <v>905.6</v>
      </c>
      <c r="J77" s="108"/>
      <c r="K77" s="108"/>
      <c r="L77" s="109"/>
      <c r="M77" s="109"/>
      <c r="N77" s="110"/>
      <c r="O77" s="223"/>
      <c r="P77" s="223"/>
      <c r="Q77" s="223"/>
      <c r="R77" s="220"/>
    </row>
    <row r="78" spans="1:21" s="193" customFormat="1" x14ac:dyDescent="0.2">
      <c r="A78" s="424"/>
      <c r="B78" s="426"/>
      <c r="C78" s="425"/>
      <c r="D78" s="425"/>
      <c r="E78" s="105" t="s">
        <v>15</v>
      </c>
      <c r="F78" s="107">
        <v>1186.587</v>
      </c>
      <c r="G78" s="106">
        <v>1311.2</v>
      </c>
      <c r="H78" s="106">
        <f>ROUND(G78*Lapas1!$B$2, 1)</f>
        <v>1416.1</v>
      </c>
      <c r="I78" s="106">
        <f>ROUND(H78*Lapas1!$B$2, 1)</f>
        <v>1529.4</v>
      </c>
      <c r="J78" s="108"/>
      <c r="K78" s="108"/>
      <c r="L78" s="109"/>
      <c r="M78" s="109"/>
      <c r="N78" s="110"/>
      <c r="O78" s="223"/>
      <c r="P78" s="223"/>
      <c r="Q78" s="223"/>
      <c r="R78" s="220"/>
    </row>
    <row r="79" spans="1:21" s="193" customFormat="1" x14ac:dyDescent="0.2">
      <c r="A79" s="424"/>
      <c r="B79" s="426"/>
      <c r="C79" s="425"/>
      <c r="D79" s="425"/>
      <c r="E79" s="105" t="s">
        <v>17</v>
      </c>
      <c r="F79" s="107">
        <v>34.4</v>
      </c>
      <c r="G79" s="106">
        <v>39.1</v>
      </c>
      <c r="H79" s="106">
        <f>ROUND(G79*Lapas1!$B$3, 1)</f>
        <v>42.2</v>
      </c>
      <c r="I79" s="106">
        <f>ROUND(H79*Lapas1!$B$3, 1)</f>
        <v>45.6</v>
      </c>
      <c r="J79" s="108"/>
      <c r="K79" s="108"/>
      <c r="L79" s="109"/>
      <c r="M79" s="109"/>
      <c r="N79" s="110"/>
      <c r="O79" s="223"/>
      <c r="P79" s="223"/>
      <c r="Q79" s="223"/>
      <c r="R79" s="220"/>
    </row>
    <row r="80" spans="1:21" s="193" customFormat="1" x14ac:dyDescent="0.2">
      <c r="A80" s="424"/>
      <c r="B80" s="426"/>
      <c r="C80" s="425"/>
      <c r="D80" s="425"/>
      <c r="E80" s="184" t="s">
        <v>22</v>
      </c>
      <c r="F80" s="112">
        <f>SUM(F77:F79)</f>
        <v>1891.8870000000002</v>
      </c>
      <c r="G80" s="174">
        <f t="shared" ref="G80" si="13">SUM(G77:G79)</f>
        <v>2126.6999999999998</v>
      </c>
      <c r="H80" s="112">
        <f t="shared" ref="H80" si="14">SUM(H77:H79)</f>
        <v>2296.7999999999997</v>
      </c>
      <c r="I80" s="112">
        <f t="shared" ref="I80" si="15">SUM(I77:I79)</f>
        <v>2480.6</v>
      </c>
      <c r="J80" s="108"/>
      <c r="K80" s="108"/>
      <c r="L80" s="109"/>
      <c r="M80" s="109"/>
      <c r="N80" s="110"/>
      <c r="O80" s="223"/>
      <c r="P80" s="223"/>
      <c r="Q80" s="223"/>
      <c r="R80" s="114">
        <f>(G80-F80)/F80</f>
        <v>0.12411576378504616</v>
      </c>
    </row>
    <row r="81" spans="1:19" s="193" customFormat="1" ht="25.5" x14ac:dyDescent="0.2">
      <c r="A81" s="424" t="s">
        <v>0</v>
      </c>
      <c r="B81" s="426" t="s">
        <v>0</v>
      </c>
      <c r="C81" s="425" t="s">
        <v>28</v>
      </c>
      <c r="D81" s="425" t="s">
        <v>21</v>
      </c>
      <c r="E81" s="423" t="s">
        <v>274</v>
      </c>
      <c r="F81" s="423"/>
      <c r="G81" s="423"/>
      <c r="H81" s="423"/>
      <c r="I81" s="423"/>
      <c r="J81" s="430" t="s">
        <v>19</v>
      </c>
      <c r="K81" s="103" t="s">
        <v>214</v>
      </c>
      <c r="L81" s="103" t="s">
        <v>158</v>
      </c>
      <c r="M81" s="103" t="s">
        <v>11</v>
      </c>
      <c r="N81" s="221">
        <v>74</v>
      </c>
      <c r="O81" s="221">
        <v>76</v>
      </c>
      <c r="P81" s="221">
        <v>76</v>
      </c>
      <c r="Q81" s="224" t="s">
        <v>19</v>
      </c>
      <c r="R81" s="220"/>
      <c r="S81" s="222"/>
    </row>
    <row r="82" spans="1:19" s="193" customFormat="1" ht="25.5" x14ac:dyDescent="0.2">
      <c r="A82" s="424"/>
      <c r="B82" s="426"/>
      <c r="C82" s="425"/>
      <c r="D82" s="425"/>
      <c r="E82" s="423"/>
      <c r="F82" s="423"/>
      <c r="G82" s="423"/>
      <c r="H82" s="423"/>
      <c r="I82" s="423"/>
      <c r="J82" s="430"/>
      <c r="K82" s="103" t="s">
        <v>215</v>
      </c>
      <c r="L82" s="104" t="s">
        <v>33</v>
      </c>
      <c r="M82" s="103" t="s">
        <v>11</v>
      </c>
      <c r="N82" s="221">
        <v>31</v>
      </c>
      <c r="O82" s="221">
        <v>30</v>
      </c>
      <c r="P82" s="221">
        <v>20</v>
      </c>
      <c r="Q82" s="224" t="s">
        <v>19</v>
      </c>
      <c r="R82" s="220"/>
      <c r="S82" s="222"/>
    </row>
    <row r="83" spans="1:19" s="193" customFormat="1" x14ac:dyDescent="0.2">
      <c r="A83" s="424"/>
      <c r="B83" s="426"/>
      <c r="C83" s="425"/>
      <c r="D83" s="425"/>
      <c r="E83" s="423"/>
      <c r="F83" s="423"/>
      <c r="G83" s="423"/>
      <c r="H83" s="423"/>
      <c r="I83" s="423"/>
      <c r="J83" s="430"/>
      <c r="K83" s="103" t="s">
        <v>104</v>
      </c>
      <c r="L83" s="104" t="s">
        <v>162</v>
      </c>
      <c r="M83" s="103" t="s">
        <v>11</v>
      </c>
      <c r="N83" s="221">
        <v>100</v>
      </c>
      <c r="O83" s="221">
        <v>100</v>
      </c>
      <c r="P83" s="221">
        <v>100</v>
      </c>
      <c r="Q83" s="224" t="s">
        <v>19</v>
      </c>
      <c r="R83" s="220"/>
      <c r="S83" s="222"/>
    </row>
    <row r="84" spans="1:19" s="193" customFormat="1" ht="25.5" x14ac:dyDescent="0.2">
      <c r="A84" s="424"/>
      <c r="B84" s="426"/>
      <c r="C84" s="425"/>
      <c r="D84" s="425"/>
      <c r="E84" s="423"/>
      <c r="F84" s="423"/>
      <c r="G84" s="423"/>
      <c r="H84" s="423"/>
      <c r="I84" s="423"/>
      <c r="J84" s="430"/>
      <c r="K84" s="103" t="s">
        <v>105</v>
      </c>
      <c r="L84" s="104" t="s">
        <v>163</v>
      </c>
      <c r="M84" s="103" t="s">
        <v>97</v>
      </c>
      <c r="N84" s="221" t="s">
        <v>172</v>
      </c>
      <c r="O84" s="221" t="s">
        <v>173</v>
      </c>
      <c r="P84" s="221" t="s">
        <v>254</v>
      </c>
      <c r="Q84" s="224" t="s">
        <v>19</v>
      </c>
      <c r="R84" s="220"/>
    </row>
    <row r="85" spans="1:19" s="193" customFormat="1" ht="25.5" x14ac:dyDescent="0.2">
      <c r="A85" s="424"/>
      <c r="B85" s="426"/>
      <c r="C85" s="425"/>
      <c r="D85" s="425"/>
      <c r="E85" s="423"/>
      <c r="F85" s="423"/>
      <c r="G85" s="423"/>
      <c r="H85" s="423"/>
      <c r="I85" s="423"/>
      <c r="J85" s="430"/>
      <c r="K85" s="103" t="s">
        <v>106</v>
      </c>
      <c r="L85" s="104" t="s">
        <v>164</v>
      </c>
      <c r="M85" s="103" t="s">
        <v>11</v>
      </c>
      <c r="N85" s="221">
        <v>70</v>
      </c>
      <c r="O85" s="221">
        <v>70</v>
      </c>
      <c r="P85" s="221">
        <v>70</v>
      </c>
      <c r="Q85" s="224" t="s">
        <v>19</v>
      </c>
      <c r="R85" s="220"/>
    </row>
    <row r="86" spans="1:19" s="193" customFormat="1" ht="25.5" x14ac:dyDescent="0.2">
      <c r="A86" s="424"/>
      <c r="B86" s="426"/>
      <c r="C86" s="425"/>
      <c r="D86" s="425"/>
      <c r="E86" s="423"/>
      <c r="F86" s="423"/>
      <c r="G86" s="423"/>
      <c r="H86" s="423"/>
      <c r="I86" s="423"/>
      <c r="J86" s="430"/>
      <c r="K86" s="103" t="s">
        <v>252</v>
      </c>
      <c r="L86" s="104" t="s">
        <v>184</v>
      </c>
      <c r="M86" s="103" t="s">
        <v>11</v>
      </c>
      <c r="N86" s="221">
        <v>47</v>
      </c>
      <c r="O86" s="221">
        <v>47</v>
      </c>
      <c r="P86" s="221">
        <v>47</v>
      </c>
      <c r="Q86" s="224" t="s">
        <v>19</v>
      </c>
      <c r="R86" s="220"/>
    </row>
    <row r="87" spans="1:19" s="193" customFormat="1" x14ac:dyDescent="0.2">
      <c r="A87" s="424"/>
      <c r="B87" s="426"/>
      <c r="C87" s="425"/>
      <c r="D87" s="425"/>
      <c r="E87" s="105" t="s">
        <v>14</v>
      </c>
      <c r="F87" s="107">
        <v>907.5</v>
      </c>
      <c r="G87" s="106">
        <v>1632.2</v>
      </c>
      <c r="H87" s="106">
        <f>ROUND(G87*Lapas1!$B$1, 1)</f>
        <v>1762.8</v>
      </c>
      <c r="I87" s="106">
        <f>ROUND(H87*Lapas1!$B$1, 1)</f>
        <v>1903.8</v>
      </c>
      <c r="J87" s="108"/>
      <c r="K87" s="108"/>
      <c r="L87" s="109"/>
      <c r="M87" s="109"/>
      <c r="N87" s="110"/>
      <c r="O87" s="223"/>
      <c r="P87" s="223"/>
      <c r="Q87" s="223"/>
      <c r="R87" s="220"/>
    </row>
    <row r="88" spans="1:19" s="193" customFormat="1" x14ac:dyDescent="0.2">
      <c r="A88" s="424"/>
      <c r="B88" s="426"/>
      <c r="C88" s="425"/>
      <c r="D88" s="425"/>
      <c r="E88" s="105" t="s">
        <v>15</v>
      </c>
      <c r="F88" s="107">
        <v>1658.258</v>
      </c>
      <c r="G88" s="106">
        <f>2863.2+4.231</f>
        <v>2867.431</v>
      </c>
      <c r="H88" s="106">
        <f>ROUND(G88*Lapas1!$B$2, 1)</f>
        <v>3096.8</v>
      </c>
      <c r="I88" s="106">
        <f>ROUND(H88*Lapas1!$B$2, 1)</f>
        <v>3344.5</v>
      </c>
      <c r="J88" s="108"/>
      <c r="K88" s="108"/>
      <c r="L88" s="109"/>
      <c r="M88" s="109"/>
      <c r="N88" s="110"/>
      <c r="O88" s="223"/>
      <c r="P88" s="223"/>
      <c r="Q88" s="223"/>
      <c r="R88" s="220"/>
    </row>
    <row r="89" spans="1:19" s="193" customFormat="1" x14ac:dyDescent="0.2">
      <c r="A89" s="424"/>
      <c r="B89" s="426"/>
      <c r="C89" s="425"/>
      <c r="D89" s="425"/>
      <c r="E89" s="105" t="s">
        <v>17</v>
      </c>
      <c r="F89" s="107">
        <v>89.4</v>
      </c>
      <c r="G89" s="106">
        <v>123.4</v>
      </c>
      <c r="H89" s="106">
        <f>ROUND(G89*Lapas1!$B$3, 1)</f>
        <v>133.30000000000001</v>
      </c>
      <c r="I89" s="106">
        <f>ROUND(H89*Lapas1!$B$3, 1)</f>
        <v>144</v>
      </c>
      <c r="J89" s="108"/>
      <c r="K89" s="108"/>
      <c r="L89" s="109"/>
      <c r="M89" s="109"/>
      <c r="N89" s="110"/>
      <c r="O89" s="223"/>
      <c r="P89" s="223"/>
      <c r="Q89" s="223"/>
      <c r="R89" s="220"/>
    </row>
    <row r="90" spans="1:19" s="193" customFormat="1" x14ac:dyDescent="0.2">
      <c r="A90" s="424"/>
      <c r="B90" s="426"/>
      <c r="C90" s="425"/>
      <c r="D90" s="425"/>
      <c r="E90" s="184" t="s">
        <v>22</v>
      </c>
      <c r="F90" s="112">
        <f>SUM(F87:F89)</f>
        <v>2655.1579999999999</v>
      </c>
      <c r="G90" s="174">
        <f t="shared" ref="G90" si="16">SUM(G87:G89)</f>
        <v>4623.0309999999999</v>
      </c>
      <c r="H90" s="112">
        <f t="shared" ref="H90" si="17">SUM(H87:H89)</f>
        <v>4992.9000000000005</v>
      </c>
      <c r="I90" s="112">
        <f t="shared" ref="I90" si="18">SUM(I87:I89)</f>
        <v>5392.3</v>
      </c>
      <c r="J90" s="108"/>
      <c r="K90" s="108"/>
      <c r="L90" s="109"/>
      <c r="M90" s="109"/>
      <c r="N90" s="110"/>
      <c r="O90" s="223"/>
      <c r="P90" s="223"/>
      <c r="Q90" s="223"/>
      <c r="R90" s="114">
        <f>(G90-F90)/F90</f>
        <v>0.74115099741710289</v>
      </c>
    </row>
    <row r="91" spans="1:19" s="193" customFormat="1" ht="15" x14ac:dyDescent="0.2">
      <c r="A91" s="424" t="s">
        <v>0</v>
      </c>
      <c r="B91" s="426" t="s">
        <v>0</v>
      </c>
      <c r="C91" s="425" t="s">
        <v>75</v>
      </c>
      <c r="D91" s="425" t="s">
        <v>21</v>
      </c>
      <c r="E91" s="423" t="s">
        <v>882</v>
      </c>
      <c r="F91" s="423"/>
      <c r="G91" s="423"/>
      <c r="H91" s="423"/>
      <c r="I91" s="423"/>
      <c r="J91" s="261" t="s">
        <v>19</v>
      </c>
      <c r="K91" s="407" t="s">
        <v>19</v>
      </c>
      <c r="L91" s="261" t="s">
        <v>19</v>
      </c>
      <c r="M91" s="408" t="s">
        <v>19</v>
      </c>
      <c r="N91" s="409" t="s">
        <v>19</v>
      </c>
      <c r="O91" s="409" t="s">
        <v>19</v>
      </c>
      <c r="P91" s="409" t="s">
        <v>19</v>
      </c>
      <c r="Q91" s="410" t="s">
        <v>19</v>
      </c>
      <c r="R91" s="220"/>
      <c r="S91" s="222"/>
    </row>
    <row r="92" spans="1:19" s="193" customFormat="1" ht="15" x14ac:dyDescent="0.2">
      <c r="A92" s="424"/>
      <c r="B92" s="426"/>
      <c r="C92" s="425"/>
      <c r="D92" s="425"/>
      <c r="E92" s="105" t="s">
        <v>14</v>
      </c>
      <c r="F92" s="107">
        <f>413.3-179.8</f>
        <v>233.5</v>
      </c>
      <c r="G92" s="254"/>
      <c r="H92" s="254"/>
      <c r="I92" s="254"/>
      <c r="J92" s="108"/>
      <c r="K92" s="108"/>
      <c r="L92" s="109"/>
      <c r="M92" s="109"/>
      <c r="N92" s="110"/>
      <c r="O92" s="223"/>
      <c r="P92" s="223"/>
      <c r="Q92" s="223"/>
      <c r="R92" s="220"/>
    </row>
    <row r="93" spans="1:19" s="193" customFormat="1" ht="15" x14ac:dyDescent="0.2">
      <c r="A93" s="424"/>
      <c r="B93" s="426"/>
      <c r="C93" s="425"/>
      <c r="D93" s="425"/>
      <c r="E93" s="105" t="s">
        <v>15</v>
      </c>
      <c r="F93" s="107">
        <v>640.82065</v>
      </c>
      <c r="G93" s="254"/>
      <c r="H93" s="254"/>
      <c r="I93" s="254"/>
      <c r="J93" s="108"/>
      <c r="K93" s="108"/>
      <c r="L93" s="109"/>
      <c r="M93" s="109"/>
      <c r="N93" s="110"/>
      <c r="O93" s="223"/>
      <c r="P93" s="223"/>
      <c r="Q93" s="223"/>
      <c r="R93" s="220"/>
    </row>
    <row r="94" spans="1:19" s="193" customFormat="1" ht="15" x14ac:dyDescent="0.2">
      <c r="A94" s="424"/>
      <c r="B94" s="426"/>
      <c r="C94" s="425"/>
      <c r="D94" s="425"/>
      <c r="E94" s="105" t="s">
        <v>17</v>
      </c>
      <c r="F94" s="107">
        <f>13.7-2.4</f>
        <v>11.299999999999999</v>
      </c>
      <c r="G94" s="254"/>
      <c r="H94" s="254"/>
      <c r="I94" s="254"/>
      <c r="J94" s="108"/>
      <c r="K94" s="108"/>
      <c r="L94" s="109"/>
      <c r="M94" s="109"/>
      <c r="N94" s="110"/>
      <c r="O94" s="223"/>
      <c r="P94" s="223"/>
      <c r="Q94" s="223"/>
      <c r="R94" s="220"/>
    </row>
    <row r="95" spans="1:19" s="193" customFormat="1" x14ac:dyDescent="0.2">
      <c r="A95" s="424"/>
      <c r="B95" s="426"/>
      <c r="C95" s="425"/>
      <c r="D95" s="425"/>
      <c r="E95" s="253" t="s">
        <v>22</v>
      </c>
      <c r="F95" s="112">
        <f>SUM(F92:F94)</f>
        <v>885.62064999999996</v>
      </c>
      <c r="G95" s="174">
        <f t="shared" ref="G95:I95" si="19">SUM(G92:G94)</f>
        <v>0</v>
      </c>
      <c r="H95" s="112">
        <f t="shared" si="19"/>
        <v>0</v>
      </c>
      <c r="I95" s="112">
        <f t="shared" si="19"/>
        <v>0</v>
      </c>
      <c r="J95" s="108"/>
      <c r="K95" s="108"/>
      <c r="L95" s="109"/>
      <c r="M95" s="109"/>
      <c r="N95" s="110"/>
      <c r="O95" s="223"/>
      <c r="P95" s="223"/>
      <c r="Q95" s="223"/>
      <c r="R95" s="114">
        <f>(G95-F95)/F95</f>
        <v>-1</v>
      </c>
    </row>
    <row r="96" spans="1:19" s="193" customFormat="1" ht="25.5" x14ac:dyDescent="0.2">
      <c r="A96" s="424" t="s">
        <v>0</v>
      </c>
      <c r="B96" s="426" t="s">
        <v>0</v>
      </c>
      <c r="C96" s="425" t="s">
        <v>107</v>
      </c>
      <c r="D96" s="425" t="s">
        <v>21</v>
      </c>
      <c r="E96" s="423" t="s">
        <v>34</v>
      </c>
      <c r="F96" s="423"/>
      <c r="G96" s="423"/>
      <c r="H96" s="423"/>
      <c r="I96" s="423"/>
      <c r="J96" s="430" t="s">
        <v>19</v>
      </c>
      <c r="K96" s="103" t="s">
        <v>216</v>
      </c>
      <c r="L96" s="103" t="s">
        <v>158</v>
      </c>
      <c r="M96" s="103" t="s">
        <v>11</v>
      </c>
      <c r="N96" s="221">
        <v>95</v>
      </c>
      <c r="O96" s="221">
        <v>96</v>
      </c>
      <c r="P96" s="221">
        <v>97</v>
      </c>
      <c r="Q96" s="221" t="s">
        <v>19</v>
      </c>
      <c r="R96" s="220"/>
      <c r="S96" s="222"/>
    </row>
    <row r="97" spans="1:23" s="193" customFormat="1" ht="25.5" x14ac:dyDescent="0.2">
      <c r="A97" s="424"/>
      <c r="B97" s="426"/>
      <c r="C97" s="425"/>
      <c r="D97" s="425"/>
      <c r="E97" s="423"/>
      <c r="F97" s="423"/>
      <c r="G97" s="423"/>
      <c r="H97" s="423"/>
      <c r="I97" s="423"/>
      <c r="J97" s="430"/>
      <c r="K97" s="103" t="s">
        <v>217</v>
      </c>
      <c r="L97" s="104" t="s">
        <v>33</v>
      </c>
      <c r="M97" s="103" t="s">
        <v>11</v>
      </c>
      <c r="N97" s="221">
        <v>21.5</v>
      </c>
      <c r="O97" s="221">
        <v>21</v>
      </c>
      <c r="P97" s="221">
        <v>16</v>
      </c>
      <c r="Q97" s="224" t="s">
        <v>19</v>
      </c>
      <c r="R97" s="220"/>
      <c r="S97" s="222"/>
    </row>
    <row r="98" spans="1:23" s="193" customFormat="1" x14ac:dyDescent="0.2">
      <c r="A98" s="424"/>
      <c r="B98" s="426"/>
      <c r="C98" s="425"/>
      <c r="D98" s="425"/>
      <c r="E98" s="423"/>
      <c r="F98" s="423"/>
      <c r="G98" s="423"/>
      <c r="H98" s="423"/>
      <c r="I98" s="423"/>
      <c r="J98" s="430"/>
      <c r="K98" s="103" t="s">
        <v>112</v>
      </c>
      <c r="L98" s="104" t="s">
        <v>162</v>
      </c>
      <c r="M98" s="103" t="s">
        <v>11</v>
      </c>
      <c r="N98" s="221">
        <v>90</v>
      </c>
      <c r="O98" s="221">
        <v>100</v>
      </c>
      <c r="P98" s="221">
        <v>100</v>
      </c>
      <c r="Q98" s="224" t="s">
        <v>19</v>
      </c>
      <c r="R98" s="220"/>
      <c r="S98" s="222"/>
    </row>
    <row r="99" spans="1:23" s="193" customFormat="1" ht="25.5" x14ac:dyDescent="0.2">
      <c r="A99" s="424"/>
      <c r="B99" s="426"/>
      <c r="C99" s="425"/>
      <c r="D99" s="425"/>
      <c r="E99" s="423"/>
      <c r="F99" s="423"/>
      <c r="G99" s="423"/>
      <c r="H99" s="423"/>
      <c r="I99" s="423"/>
      <c r="J99" s="430"/>
      <c r="K99" s="103" t="s">
        <v>113</v>
      </c>
      <c r="L99" s="104" t="s">
        <v>163</v>
      </c>
      <c r="M99" s="103" t="s">
        <v>97</v>
      </c>
      <c r="N99" s="221">
        <v>0.5</v>
      </c>
      <c r="O99" s="221">
        <v>0.5</v>
      </c>
      <c r="P99" s="221">
        <v>0.5</v>
      </c>
      <c r="Q99" s="224" t="s">
        <v>19</v>
      </c>
      <c r="R99" s="220"/>
    </row>
    <row r="100" spans="1:23" s="193" customFormat="1" ht="25.5" x14ac:dyDescent="0.2">
      <c r="A100" s="424"/>
      <c r="B100" s="426"/>
      <c r="C100" s="425"/>
      <c r="D100" s="425"/>
      <c r="E100" s="423"/>
      <c r="F100" s="423"/>
      <c r="G100" s="423"/>
      <c r="H100" s="423"/>
      <c r="I100" s="423"/>
      <c r="J100" s="430"/>
      <c r="K100" s="103" t="s">
        <v>114</v>
      </c>
      <c r="L100" s="104" t="s">
        <v>164</v>
      </c>
      <c r="M100" s="103" t="s">
        <v>11</v>
      </c>
      <c r="N100" s="221">
        <v>42.5</v>
      </c>
      <c r="O100" s="221">
        <v>42.8</v>
      </c>
      <c r="P100" s="221">
        <v>43</v>
      </c>
      <c r="Q100" s="224" t="s">
        <v>19</v>
      </c>
      <c r="R100" s="220"/>
    </row>
    <row r="101" spans="1:23" s="193" customFormat="1" ht="25.5" x14ac:dyDescent="0.2">
      <c r="A101" s="424"/>
      <c r="B101" s="426"/>
      <c r="C101" s="425"/>
      <c r="D101" s="425"/>
      <c r="E101" s="423"/>
      <c r="F101" s="423"/>
      <c r="G101" s="423"/>
      <c r="H101" s="423"/>
      <c r="I101" s="423"/>
      <c r="J101" s="430"/>
      <c r="K101" s="103" t="s">
        <v>218</v>
      </c>
      <c r="L101" s="104" t="s">
        <v>184</v>
      </c>
      <c r="M101" s="103" t="s">
        <v>11</v>
      </c>
      <c r="N101" s="221">
        <v>29</v>
      </c>
      <c r="O101" s="221">
        <v>29</v>
      </c>
      <c r="P101" s="221">
        <v>29</v>
      </c>
      <c r="Q101" s="224" t="s">
        <v>19</v>
      </c>
      <c r="R101" s="220"/>
    </row>
    <row r="102" spans="1:23" s="193" customFormat="1" x14ac:dyDescent="0.2">
      <c r="A102" s="424"/>
      <c r="B102" s="426"/>
      <c r="C102" s="425"/>
      <c r="D102" s="425"/>
      <c r="E102" s="105" t="s">
        <v>14</v>
      </c>
      <c r="F102" s="107">
        <v>437.6</v>
      </c>
      <c r="G102" s="106">
        <v>457.7</v>
      </c>
      <c r="H102" s="106">
        <f>ROUND(G102*Lapas1!$B$1, 1)</f>
        <v>494.3</v>
      </c>
      <c r="I102" s="106">
        <f>ROUND(H102*Lapas1!$B$1, 1)</f>
        <v>533.79999999999995</v>
      </c>
      <c r="J102" s="108"/>
      <c r="K102" s="108"/>
      <c r="L102" s="109"/>
      <c r="M102" s="109"/>
      <c r="N102" s="110"/>
      <c r="O102" s="223"/>
      <c r="P102" s="223"/>
      <c r="Q102" s="223"/>
      <c r="R102" s="220"/>
    </row>
    <row r="103" spans="1:23" s="193" customFormat="1" x14ac:dyDescent="0.2">
      <c r="A103" s="424"/>
      <c r="B103" s="426"/>
      <c r="C103" s="425"/>
      <c r="D103" s="425"/>
      <c r="E103" s="105" t="s">
        <v>15</v>
      </c>
      <c r="F103" s="107">
        <v>1868.5640000000001</v>
      </c>
      <c r="G103" s="106">
        <v>2069.6</v>
      </c>
      <c r="H103" s="106">
        <f>ROUND(G103*Lapas1!$B$2, 1)</f>
        <v>2235.1999999999998</v>
      </c>
      <c r="I103" s="106">
        <f>ROUND(H103*Lapas1!$B$2, 1)</f>
        <v>2414</v>
      </c>
      <c r="J103" s="108"/>
      <c r="K103" s="108"/>
      <c r="L103" s="109"/>
      <c r="M103" s="109"/>
      <c r="N103" s="110"/>
      <c r="O103" s="223"/>
      <c r="P103" s="223"/>
      <c r="Q103" s="223"/>
      <c r="R103" s="220"/>
    </row>
    <row r="104" spans="1:23" s="193" customFormat="1" x14ac:dyDescent="0.2">
      <c r="A104" s="424"/>
      <c r="B104" s="426"/>
      <c r="C104" s="425"/>
      <c r="D104" s="425"/>
      <c r="E104" s="105" t="s">
        <v>17</v>
      </c>
      <c r="F104" s="107">
        <v>6.5</v>
      </c>
      <c r="G104" s="106">
        <v>7</v>
      </c>
      <c r="H104" s="106">
        <f>ROUND(G104*Lapas1!$B$3, 1)</f>
        <v>7.6</v>
      </c>
      <c r="I104" s="106">
        <f>ROUND(H104*Lapas1!$B$3, 1)</f>
        <v>8.1999999999999993</v>
      </c>
      <c r="J104" s="108"/>
      <c r="K104" s="108"/>
      <c r="L104" s="109"/>
      <c r="M104" s="109"/>
      <c r="N104" s="110"/>
      <c r="O104" s="223"/>
      <c r="P104" s="223"/>
      <c r="Q104" s="223"/>
      <c r="R104" s="220"/>
    </row>
    <row r="105" spans="1:23" s="193" customFormat="1" x14ac:dyDescent="0.2">
      <c r="A105" s="424"/>
      <c r="B105" s="426"/>
      <c r="C105" s="425"/>
      <c r="D105" s="425"/>
      <c r="E105" s="184" t="s">
        <v>22</v>
      </c>
      <c r="F105" s="112">
        <f>SUM(F102:F104)</f>
        <v>2312.6640000000002</v>
      </c>
      <c r="G105" s="174">
        <f t="shared" ref="G105" si="20">SUM(G102:G104)</f>
        <v>2534.2999999999997</v>
      </c>
      <c r="H105" s="112">
        <f t="shared" ref="H105" si="21">SUM(H102:H104)</f>
        <v>2737.1</v>
      </c>
      <c r="I105" s="112">
        <f t="shared" ref="I105" si="22">SUM(I102:I104)</f>
        <v>2956</v>
      </c>
      <c r="J105" s="108"/>
      <c r="K105" s="108"/>
      <c r="L105" s="109"/>
      <c r="M105" s="109"/>
      <c r="N105" s="110"/>
      <c r="O105" s="223"/>
      <c r="P105" s="223"/>
      <c r="Q105" s="223"/>
      <c r="R105" s="114">
        <f>(G105-F105)/F105</f>
        <v>9.583579802340482E-2</v>
      </c>
    </row>
    <row r="106" spans="1:23" s="193" customFormat="1" ht="15" x14ac:dyDescent="0.2">
      <c r="A106" s="424" t="s">
        <v>0</v>
      </c>
      <c r="B106" s="426" t="s">
        <v>0</v>
      </c>
      <c r="C106" s="425" t="s">
        <v>108</v>
      </c>
      <c r="D106" s="430" t="s">
        <v>21</v>
      </c>
      <c r="E106" s="423" t="s">
        <v>1011</v>
      </c>
      <c r="F106" s="423"/>
      <c r="G106" s="423"/>
      <c r="H106" s="423"/>
      <c r="I106" s="423"/>
      <c r="J106" s="261" t="s">
        <v>19</v>
      </c>
      <c r="K106" s="407" t="s">
        <v>19</v>
      </c>
      <c r="L106" s="261" t="s">
        <v>19</v>
      </c>
      <c r="M106" s="408" t="s">
        <v>19</v>
      </c>
      <c r="N106" s="409" t="s">
        <v>19</v>
      </c>
      <c r="O106" s="409" t="s">
        <v>19</v>
      </c>
      <c r="P106" s="409" t="s">
        <v>19</v>
      </c>
      <c r="Q106" s="410" t="s">
        <v>19</v>
      </c>
      <c r="R106" s="220"/>
      <c r="S106" s="222"/>
      <c r="T106" s="2"/>
      <c r="U106" s="2"/>
      <c r="V106" s="2"/>
      <c r="W106" s="2"/>
    </row>
    <row r="107" spans="1:23" s="193" customFormat="1" x14ac:dyDescent="0.2">
      <c r="A107" s="424"/>
      <c r="B107" s="426"/>
      <c r="C107" s="425"/>
      <c r="D107" s="430"/>
      <c r="E107" s="105" t="s">
        <v>14</v>
      </c>
      <c r="F107" s="107">
        <f>363-145.3</f>
        <v>217.7</v>
      </c>
      <c r="G107" s="106"/>
      <c r="H107" s="106"/>
      <c r="I107" s="106"/>
      <c r="J107" s="108"/>
      <c r="K107" s="108"/>
      <c r="L107" s="109"/>
      <c r="M107" s="109"/>
      <c r="N107" s="110"/>
      <c r="O107" s="223"/>
      <c r="P107" s="223"/>
      <c r="Q107" s="223"/>
      <c r="R107" s="220"/>
    </row>
    <row r="108" spans="1:23" s="193" customFormat="1" x14ac:dyDescent="0.2">
      <c r="A108" s="424"/>
      <c r="B108" s="426"/>
      <c r="C108" s="425"/>
      <c r="D108" s="430"/>
      <c r="E108" s="105" t="s">
        <v>15</v>
      </c>
      <c r="F108" s="107">
        <v>585.62935000000004</v>
      </c>
      <c r="G108" s="106"/>
      <c r="H108" s="106"/>
      <c r="I108" s="106"/>
      <c r="J108" s="108"/>
      <c r="K108" s="108"/>
      <c r="L108" s="109"/>
      <c r="M108" s="109"/>
      <c r="N108" s="110"/>
      <c r="O108" s="223"/>
      <c r="P108" s="223"/>
      <c r="Q108" s="223"/>
      <c r="R108" s="220"/>
    </row>
    <row r="109" spans="1:23" s="193" customFormat="1" x14ac:dyDescent="0.2">
      <c r="A109" s="424"/>
      <c r="B109" s="426"/>
      <c r="C109" s="425"/>
      <c r="D109" s="430"/>
      <c r="E109" s="105" t="s">
        <v>17</v>
      </c>
      <c r="F109" s="107">
        <f>25.5-11.3</f>
        <v>14.2</v>
      </c>
      <c r="G109" s="106"/>
      <c r="H109" s="106"/>
      <c r="I109" s="106"/>
      <c r="J109" s="108"/>
      <c r="K109" s="108"/>
      <c r="L109" s="109"/>
      <c r="M109" s="109"/>
      <c r="N109" s="110"/>
      <c r="O109" s="223"/>
      <c r="P109" s="223"/>
      <c r="Q109" s="223"/>
      <c r="R109" s="220"/>
    </row>
    <row r="110" spans="1:23" s="193" customFormat="1" x14ac:dyDescent="0.2">
      <c r="A110" s="424"/>
      <c r="B110" s="426"/>
      <c r="C110" s="425"/>
      <c r="D110" s="430"/>
      <c r="E110" s="253" t="s">
        <v>22</v>
      </c>
      <c r="F110" s="112">
        <f>SUM(F107:F109)</f>
        <v>817.52935000000002</v>
      </c>
      <c r="G110" s="174">
        <f t="shared" ref="G110:I110" si="23">SUM(G107:G109)</f>
        <v>0</v>
      </c>
      <c r="H110" s="112">
        <f t="shared" si="23"/>
        <v>0</v>
      </c>
      <c r="I110" s="112">
        <f t="shared" si="23"/>
        <v>0</v>
      </c>
      <c r="J110" s="108"/>
      <c r="K110" s="108"/>
      <c r="L110" s="109"/>
      <c r="M110" s="109"/>
      <c r="N110" s="110"/>
      <c r="O110" s="223"/>
      <c r="P110" s="223"/>
      <c r="Q110" s="223"/>
      <c r="R110" s="114">
        <f>(G110-F110)/F110</f>
        <v>-1</v>
      </c>
    </row>
    <row r="111" spans="1:23" s="193" customFormat="1" x14ac:dyDescent="0.2">
      <c r="A111" s="424" t="s">
        <v>0</v>
      </c>
      <c r="B111" s="426" t="s">
        <v>0</v>
      </c>
      <c r="C111" s="425" t="s">
        <v>119</v>
      </c>
      <c r="D111" s="430" t="s">
        <v>21</v>
      </c>
      <c r="E111" s="423" t="s">
        <v>260</v>
      </c>
      <c r="F111" s="423"/>
      <c r="G111" s="423"/>
      <c r="H111" s="423"/>
      <c r="I111" s="423"/>
      <c r="J111" s="430" t="s">
        <v>19</v>
      </c>
      <c r="K111" s="115" t="s">
        <v>251</v>
      </c>
      <c r="L111" s="116" t="s">
        <v>162</v>
      </c>
      <c r="M111" s="115" t="s">
        <v>11</v>
      </c>
      <c r="N111" s="221">
        <v>100</v>
      </c>
      <c r="O111" s="221">
        <v>100</v>
      </c>
      <c r="P111" s="221">
        <v>100</v>
      </c>
      <c r="Q111" s="224" t="s">
        <v>19</v>
      </c>
      <c r="R111" s="220"/>
      <c r="S111" s="222"/>
      <c r="T111" s="2"/>
      <c r="U111" s="2"/>
      <c r="V111" s="2"/>
      <c r="W111" s="2"/>
    </row>
    <row r="112" spans="1:23" s="193" customFormat="1" x14ac:dyDescent="0.2">
      <c r="A112" s="424"/>
      <c r="B112" s="426"/>
      <c r="C112" s="425"/>
      <c r="D112" s="430"/>
      <c r="E112" s="423"/>
      <c r="F112" s="423"/>
      <c r="G112" s="423"/>
      <c r="H112" s="423"/>
      <c r="I112" s="423"/>
      <c r="J112" s="430"/>
      <c r="K112" s="115" t="s">
        <v>189</v>
      </c>
      <c r="L112" s="116" t="s">
        <v>124</v>
      </c>
      <c r="M112" s="115" t="s">
        <v>35</v>
      </c>
      <c r="N112" s="221">
        <v>220</v>
      </c>
      <c r="O112" s="221">
        <v>220</v>
      </c>
      <c r="P112" s="221">
        <v>220</v>
      </c>
      <c r="Q112" s="224" t="s">
        <v>19</v>
      </c>
      <c r="R112" s="220"/>
      <c r="S112" s="439"/>
      <c r="T112" s="439"/>
      <c r="U112" s="439"/>
      <c r="V112" s="2"/>
      <c r="W112" s="2"/>
    </row>
    <row r="113" spans="1:23" s="193" customFormat="1" ht="25.5" x14ac:dyDescent="0.2">
      <c r="A113" s="424"/>
      <c r="B113" s="426"/>
      <c r="C113" s="425"/>
      <c r="D113" s="430"/>
      <c r="E113" s="423"/>
      <c r="F113" s="423"/>
      <c r="G113" s="423"/>
      <c r="H113" s="423"/>
      <c r="I113" s="423"/>
      <c r="J113" s="430"/>
      <c r="K113" s="115" t="s">
        <v>187</v>
      </c>
      <c r="L113" s="116" t="s">
        <v>38</v>
      </c>
      <c r="M113" s="115" t="s">
        <v>35</v>
      </c>
      <c r="N113" s="221">
        <v>125</v>
      </c>
      <c r="O113" s="221">
        <v>130</v>
      </c>
      <c r="P113" s="221">
        <v>130</v>
      </c>
      <c r="Q113" s="224" t="s">
        <v>19</v>
      </c>
      <c r="R113" s="220"/>
    </row>
    <row r="114" spans="1:23" s="193" customFormat="1" ht="38.25" x14ac:dyDescent="0.2">
      <c r="A114" s="424"/>
      <c r="B114" s="426"/>
      <c r="C114" s="425"/>
      <c r="D114" s="430"/>
      <c r="E114" s="423"/>
      <c r="F114" s="423"/>
      <c r="G114" s="423"/>
      <c r="H114" s="423"/>
      <c r="I114" s="423"/>
      <c r="J114" s="430"/>
      <c r="K114" s="115" t="s">
        <v>188</v>
      </c>
      <c r="L114" s="116" t="s">
        <v>39</v>
      </c>
      <c r="M114" s="115" t="s">
        <v>11</v>
      </c>
      <c r="N114" s="221">
        <v>62</v>
      </c>
      <c r="O114" s="221">
        <v>65</v>
      </c>
      <c r="P114" s="221">
        <v>65</v>
      </c>
      <c r="Q114" s="224" t="s">
        <v>19</v>
      </c>
      <c r="R114" s="220"/>
    </row>
    <row r="115" spans="1:23" s="193" customFormat="1" x14ac:dyDescent="0.2">
      <c r="A115" s="424"/>
      <c r="B115" s="426"/>
      <c r="C115" s="425"/>
      <c r="D115" s="430"/>
      <c r="E115" s="423"/>
      <c r="F115" s="423"/>
      <c r="G115" s="423"/>
      <c r="H115" s="423"/>
      <c r="I115" s="423"/>
      <c r="J115" s="430"/>
      <c r="K115" s="115" t="s">
        <v>190</v>
      </c>
      <c r="L115" s="116" t="s">
        <v>121</v>
      </c>
      <c r="M115" s="115" t="s">
        <v>12</v>
      </c>
      <c r="N115" s="221">
        <v>35</v>
      </c>
      <c r="O115" s="221">
        <v>30</v>
      </c>
      <c r="P115" s="221">
        <v>30</v>
      </c>
      <c r="Q115" s="224" t="s">
        <v>19</v>
      </c>
      <c r="R115" s="220"/>
    </row>
    <row r="116" spans="1:23" s="193" customFormat="1" x14ac:dyDescent="0.2">
      <c r="A116" s="424"/>
      <c r="B116" s="426"/>
      <c r="C116" s="425"/>
      <c r="D116" s="430"/>
      <c r="E116" s="423"/>
      <c r="F116" s="423"/>
      <c r="G116" s="423"/>
      <c r="H116" s="423"/>
      <c r="I116" s="423"/>
      <c r="J116" s="430"/>
      <c r="K116" s="115" t="s">
        <v>191</v>
      </c>
      <c r="L116" s="116" t="s">
        <v>84</v>
      </c>
      <c r="M116" s="115" t="s">
        <v>35</v>
      </c>
      <c r="N116" s="221">
        <v>1750</v>
      </c>
      <c r="O116" s="221">
        <v>1500</v>
      </c>
      <c r="P116" s="221">
        <v>1500</v>
      </c>
      <c r="Q116" s="224" t="s">
        <v>19</v>
      </c>
      <c r="R116" s="220"/>
    </row>
    <row r="117" spans="1:23" s="193" customFormat="1" x14ac:dyDescent="0.2">
      <c r="A117" s="424"/>
      <c r="B117" s="426"/>
      <c r="C117" s="425"/>
      <c r="D117" s="430"/>
      <c r="E117" s="105" t="s">
        <v>14</v>
      </c>
      <c r="F117" s="107">
        <v>476.7</v>
      </c>
      <c r="G117" s="106">
        <v>519</v>
      </c>
      <c r="H117" s="106">
        <f>ROUND(G117*Lapas1!$B$1, 1)</f>
        <v>560.5</v>
      </c>
      <c r="I117" s="106">
        <f>ROUND(H117*Lapas1!$B$1, 1)</f>
        <v>605.29999999999995</v>
      </c>
      <c r="J117" s="108"/>
      <c r="K117" s="108"/>
      <c r="L117" s="109"/>
      <c r="M117" s="109"/>
      <c r="N117" s="110"/>
      <c r="O117" s="223"/>
      <c r="P117" s="223"/>
      <c r="Q117" s="223"/>
      <c r="R117" s="220"/>
    </row>
    <row r="118" spans="1:23" s="193" customFormat="1" x14ac:dyDescent="0.2">
      <c r="A118" s="424"/>
      <c r="B118" s="426"/>
      <c r="C118" s="425"/>
      <c r="D118" s="430"/>
      <c r="E118" s="105" t="s">
        <v>15</v>
      </c>
      <c r="F118" s="107">
        <v>14.2</v>
      </c>
      <c r="G118" s="106">
        <v>15.3</v>
      </c>
      <c r="H118" s="106">
        <f>ROUND(G118*Lapas1!$B$2, 1)</f>
        <v>16.5</v>
      </c>
      <c r="I118" s="106">
        <f>ROUND(H118*Lapas1!$B$2, 1)</f>
        <v>17.8</v>
      </c>
      <c r="J118" s="108"/>
      <c r="K118" s="108"/>
      <c r="L118" s="109"/>
      <c r="M118" s="109"/>
      <c r="N118" s="110"/>
      <c r="O118" s="223"/>
      <c r="P118" s="223"/>
      <c r="Q118" s="223"/>
      <c r="R118" s="220"/>
    </row>
    <row r="119" spans="1:23" s="193" customFormat="1" x14ac:dyDescent="0.2">
      <c r="A119" s="424"/>
      <c r="B119" s="426"/>
      <c r="C119" s="425"/>
      <c r="D119" s="430"/>
      <c r="E119" s="105" t="s">
        <v>17</v>
      </c>
      <c r="F119" s="107">
        <v>22.2</v>
      </c>
      <c r="G119" s="106">
        <v>25</v>
      </c>
      <c r="H119" s="106">
        <f>ROUND(G119*Lapas1!$B$3, 1)</f>
        <v>27</v>
      </c>
      <c r="I119" s="106">
        <f>ROUND(H119*Lapas1!$B$3, 1)</f>
        <v>29.2</v>
      </c>
      <c r="J119" s="108"/>
      <c r="K119" s="108"/>
      <c r="L119" s="109"/>
      <c r="M119" s="109"/>
      <c r="N119" s="110"/>
      <c r="O119" s="223"/>
      <c r="P119" s="223"/>
      <c r="Q119" s="223"/>
      <c r="R119" s="220"/>
    </row>
    <row r="120" spans="1:23" s="193" customFormat="1" x14ac:dyDescent="0.2">
      <c r="A120" s="424"/>
      <c r="B120" s="426"/>
      <c r="C120" s="425"/>
      <c r="D120" s="430"/>
      <c r="E120" s="184" t="s">
        <v>22</v>
      </c>
      <c r="F120" s="112">
        <f>SUM(F117:F119)</f>
        <v>513.1</v>
      </c>
      <c r="G120" s="174">
        <f t="shared" ref="G120" si="24">SUM(G117:G119)</f>
        <v>559.29999999999995</v>
      </c>
      <c r="H120" s="112">
        <f t="shared" ref="H120" si="25">SUM(H117:H119)</f>
        <v>604</v>
      </c>
      <c r="I120" s="112">
        <f t="shared" ref="I120" si="26">SUM(I117:I119)</f>
        <v>652.29999999999995</v>
      </c>
      <c r="J120" s="108"/>
      <c r="K120" s="108"/>
      <c r="L120" s="109"/>
      <c r="M120" s="109"/>
      <c r="N120" s="110"/>
      <c r="O120" s="223"/>
      <c r="P120" s="223"/>
      <c r="Q120" s="223"/>
      <c r="R120" s="114">
        <f>(G120-F120)/F120</f>
        <v>9.0040927694406414E-2</v>
      </c>
    </row>
    <row r="121" spans="1:23" s="193" customFormat="1" x14ac:dyDescent="0.2">
      <c r="A121" s="424" t="s">
        <v>0</v>
      </c>
      <c r="B121" s="426" t="s">
        <v>0</v>
      </c>
      <c r="C121" s="425" t="s">
        <v>120</v>
      </c>
      <c r="D121" s="425" t="s">
        <v>21</v>
      </c>
      <c r="E121" s="423" t="s">
        <v>261</v>
      </c>
      <c r="F121" s="423"/>
      <c r="G121" s="423"/>
      <c r="H121" s="423"/>
      <c r="I121" s="423"/>
      <c r="J121" s="430" t="s">
        <v>19</v>
      </c>
      <c r="K121" s="115" t="s">
        <v>219</v>
      </c>
      <c r="L121" s="282" t="s">
        <v>162</v>
      </c>
      <c r="M121" s="283" t="s">
        <v>11</v>
      </c>
      <c r="N121" s="221">
        <v>100</v>
      </c>
      <c r="O121" s="221">
        <v>100</v>
      </c>
      <c r="P121" s="221">
        <v>100</v>
      </c>
      <c r="Q121" s="224" t="s">
        <v>19</v>
      </c>
      <c r="R121" s="220"/>
      <c r="S121" s="226"/>
      <c r="T121" s="2"/>
      <c r="U121" s="2"/>
      <c r="V121" s="2"/>
      <c r="W121" s="2"/>
    </row>
    <row r="122" spans="1:23" s="193" customFormat="1" x14ac:dyDescent="0.2">
      <c r="A122" s="424"/>
      <c r="B122" s="426"/>
      <c r="C122" s="425"/>
      <c r="D122" s="425"/>
      <c r="E122" s="423"/>
      <c r="F122" s="423"/>
      <c r="G122" s="423"/>
      <c r="H122" s="423"/>
      <c r="I122" s="423"/>
      <c r="J122" s="430"/>
      <c r="K122" s="115" t="s">
        <v>192</v>
      </c>
      <c r="L122" s="282" t="s">
        <v>37</v>
      </c>
      <c r="M122" s="283" t="s">
        <v>35</v>
      </c>
      <c r="N122" s="221">
        <v>630</v>
      </c>
      <c r="O122" s="221">
        <v>630</v>
      </c>
      <c r="P122" s="221">
        <v>630</v>
      </c>
      <c r="Q122" s="224" t="s">
        <v>19</v>
      </c>
      <c r="R122" s="220"/>
      <c r="S122" s="4"/>
      <c r="T122" s="2"/>
      <c r="U122" s="2"/>
      <c r="V122" s="2"/>
      <c r="W122" s="2"/>
    </row>
    <row r="123" spans="1:23" s="193" customFormat="1" ht="25.5" x14ac:dyDescent="0.2">
      <c r="A123" s="424"/>
      <c r="B123" s="426"/>
      <c r="C123" s="425"/>
      <c r="D123" s="425"/>
      <c r="E123" s="423"/>
      <c r="F123" s="423"/>
      <c r="G123" s="423"/>
      <c r="H123" s="423"/>
      <c r="I123" s="423"/>
      <c r="J123" s="430"/>
      <c r="K123" s="115" t="s">
        <v>193</v>
      </c>
      <c r="L123" s="282" t="s">
        <v>38</v>
      </c>
      <c r="M123" s="283" t="s">
        <v>35</v>
      </c>
      <c r="N123" s="221">
        <v>500</v>
      </c>
      <c r="O123" s="221">
        <v>500</v>
      </c>
      <c r="P123" s="221">
        <v>500</v>
      </c>
      <c r="Q123" s="224" t="s">
        <v>19</v>
      </c>
      <c r="R123" s="220"/>
      <c r="S123" s="5"/>
      <c r="T123" s="148"/>
      <c r="U123" s="148"/>
      <c r="V123" s="148"/>
      <c r="W123" s="148"/>
    </row>
    <row r="124" spans="1:23" s="193" customFormat="1" ht="38.25" x14ac:dyDescent="0.2">
      <c r="A124" s="424"/>
      <c r="B124" s="426"/>
      <c r="C124" s="425"/>
      <c r="D124" s="425"/>
      <c r="E124" s="423"/>
      <c r="F124" s="423"/>
      <c r="G124" s="423"/>
      <c r="H124" s="423"/>
      <c r="I124" s="423"/>
      <c r="J124" s="430"/>
      <c r="K124" s="115" t="s">
        <v>194</v>
      </c>
      <c r="L124" s="282" t="s">
        <v>39</v>
      </c>
      <c r="M124" s="283" t="s">
        <v>11</v>
      </c>
      <c r="N124" s="221">
        <v>95</v>
      </c>
      <c r="O124" s="221">
        <v>95</v>
      </c>
      <c r="P124" s="221">
        <v>95</v>
      </c>
      <c r="Q124" s="224" t="s">
        <v>19</v>
      </c>
      <c r="R124" s="220"/>
      <c r="S124" s="226"/>
    </row>
    <row r="125" spans="1:23" s="193" customFormat="1" x14ac:dyDescent="0.2">
      <c r="A125" s="424"/>
      <c r="B125" s="426"/>
      <c r="C125" s="425"/>
      <c r="D125" s="425"/>
      <c r="E125" s="423"/>
      <c r="F125" s="423"/>
      <c r="G125" s="423"/>
      <c r="H125" s="423"/>
      <c r="I125" s="423"/>
      <c r="J125" s="430"/>
      <c r="K125" s="115" t="s">
        <v>195</v>
      </c>
      <c r="L125" s="282" t="s">
        <v>121</v>
      </c>
      <c r="M125" s="283" t="s">
        <v>12</v>
      </c>
      <c r="N125" s="221">
        <v>62</v>
      </c>
      <c r="O125" s="221">
        <v>62</v>
      </c>
      <c r="P125" s="221">
        <v>62</v>
      </c>
      <c r="Q125" s="224" t="s">
        <v>19</v>
      </c>
      <c r="R125" s="220"/>
      <c r="S125" s="226"/>
    </row>
    <row r="126" spans="1:23" s="193" customFormat="1" x14ac:dyDescent="0.2">
      <c r="A126" s="424"/>
      <c r="B126" s="426"/>
      <c r="C126" s="425"/>
      <c r="D126" s="425"/>
      <c r="E126" s="423"/>
      <c r="F126" s="423"/>
      <c r="G126" s="423"/>
      <c r="H126" s="423"/>
      <c r="I126" s="423"/>
      <c r="J126" s="430"/>
      <c r="K126" s="115" t="s">
        <v>196</v>
      </c>
      <c r="L126" s="282" t="s">
        <v>84</v>
      </c>
      <c r="M126" s="283" t="s">
        <v>35</v>
      </c>
      <c r="N126" s="221">
        <v>9050</v>
      </c>
      <c r="O126" s="221">
        <v>9050</v>
      </c>
      <c r="P126" s="221">
        <v>9050</v>
      </c>
      <c r="Q126" s="224" t="s">
        <v>19</v>
      </c>
      <c r="R126" s="220"/>
      <c r="S126" s="226"/>
    </row>
    <row r="127" spans="1:23" s="193" customFormat="1" x14ac:dyDescent="0.2">
      <c r="A127" s="424"/>
      <c r="B127" s="426"/>
      <c r="C127" s="425"/>
      <c r="D127" s="425"/>
      <c r="E127" s="105" t="s">
        <v>14</v>
      </c>
      <c r="F127" s="107">
        <v>1537.2</v>
      </c>
      <c r="G127" s="106">
        <v>1397.5</v>
      </c>
      <c r="H127" s="106">
        <f>ROUND(G127*Lapas1!$B$1, 1)</f>
        <v>1509.3</v>
      </c>
      <c r="I127" s="106">
        <f>ROUND(H127*Lapas1!$B$1, 1)</f>
        <v>1630</v>
      </c>
      <c r="J127" s="108"/>
      <c r="K127" s="108"/>
      <c r="L127" s="109"/>
      <c r="M127" s="109"/>
      <c r="N127" s="110"/>
      <c r="O127" s="223"/>
      <c r="P127" s="223"/>
      <c r="Q127" s="223"/>
      <c r="R127" s="220"/>
    </row>
    <row r="128" spans="1:23" s="193" customFormat="1" x14ac:dyDescent="0.2">
      <c r="A128" s="424"/>
      <c r="B128" s="426"/>
      <c r="C128" s="425"/>
      <c r="D128" s="425"/>
      <c r="E128" s="105" t="s">
        <v>15</v>
      </c>
      <c r="F128" s="107">
        <v>60.2</v>
      </c>
      <c r="G128" s="106">
        <f>45.8+335</f>
        <v>380.8</v>
      </c>
      <c r="H128" s="106">
        <f>ROUND(G128*Lapas1!$B$2, 1)</f>
        <v>411.3</v>
      </c>
      <c r="I128" s="106">
        <f>ROUND(H128*Lapas1!$B$2, 1)</f>
        <v>444.2</v>
      </c>
      <c r="J128" s="108"/>
      <c r="K128" s="108"/>
      <c r="L128" s="109"/>
      <c r="M128" s="109"/>
      <c r="N128" s="110"/>
      <c r="O128" s="223"/>
      <c r="P128" s="223"/>
      <c r="Q128" s="223"/>
      <c r="R128" s="220"/>
    </row>
    <row r="129" spans="1:23" s="193" customFormat="1" x14ac:dyDescent="0.2">
      <c r="A129" s="424"/>
      <c r="B129" s="426"/>
      <c r="C129" s="425"/>
      <c r="D129" s="425"/>
      <c r="E129" s="105" t="s">
        <v>17</v>
      </c>
      <c r="F129" s="107">
        <v>89.4</v>
      </c>
      <c r="G129" s="106">
        <v>115.8</v>
      </c>
      <c r="H129" s="106">
        <f>ROUND(G129*Lapas1!$B$3, 1)</f>
        <v>125.1</v>
      </c>
      <c r="I129" s="106">
        <f>ROUND(H129*Lapas1!$B$3, 1)</f>
        <v>135.1</v>
      </c>
      <c r="J129" s="108"/>
      <c r="K129" s="108"/>
      <c r="L129" s="109"/>
      <c r="M129" s="109"/>
      <c r="N129" s="110"/>
      <c r="O129" s="223"/>
      <c r="P129" s="223"/>
      <c r="Q129" s="223"/>
      <c r="R129" s="220"/>
    </row>
    <row r="130" spans="1:23" s="193" customFormat="1" x14ac:dyDescent="0.2">
      <c r="A130" s="424"/>
      <c r="B130" s="426"/>
      <c r="C130" s="425"/>
      <c r="D130" s="425"/>
      <c r="E130" s="184" t="s">
        <v>22</v>
      </c>
      <c r="F130" s="112">
        <f>SUM(F127:F129)</f>
        <v>1686.8000000000002</v>
      </c>
      <c r="G130" s="174">
        <f t="shared" ref="G130" si="27">SUM(G127:G129)</f>
        <v>1894.1</v>
      </c>
      <c r="H130" s="112">
        <f t="shared" ref="H130" si="28">SUM(H127:H129)</f>
        <v>2045.6999999999998</v>
      </c>
      <c r="I130" s="112">
        <f t="shared" ref="I130" si="29">SUM(I127:I129)</f>
        <v>2209.2999999999997</v>
      </c>
      <c r="J130" s="108"/>
      <c r="K130" s="108"/>
      <c r="L130" s="109"/>
      <c r="M130" s="109"/>
      <c r="N130" s="110"/>
      <c r="O130" s="223"/>
      <c r="P130" s="223"/>
      <c r="Q130" s="223"/>
      <c r="R130" s="114">
        <f>(G130-F130)/F130</f>
        <v>0.12289542328669653</v>
      </c>
    </row>
    <row r="131" spans="1:23" s="193" customFormat="1" x14ac:dyDescent="0.2">
      <c r="A131" s="424" t="s">
        <v>0</v>
      </c>
      <c r="B131" s="426" t="s">
        <v>0</v>
      </c>
      <c r="C131" s="425" t="s">
        <v>122</v>
      </c>
      <c r="D131" s="425" t="s">
        <v>21</v>
      </c>
      <c r="E131" s="423" t="s">
        <v>262</v>
      </c>
      <c r="F131" s="423"/>
      <c r="G131" s="423"/>
      <c r="H131" s="423"/>
      <c r="I131" s="423"/>
      <c r="J131" s="430" t="s">
        <v>19</v>
      </c>
      <c r="K131" s="115" t="s">
        <v>197</v>
      </c>
      <c r="L131" s="116" t="s">
        <v>125</v>
      </c>
      <c r="M131" s="115" t="s">
        <v>35</v>
      </c>
      <c r="N131" s="221">
        <v>75</v>
      </c>
      <c r="O131" s="221">
        <v>75</v>
      </c>
      <c r="P131" s="221">
        <v>75</v>
      </c>
      <c r="Q131" s="224" t="s">
        <v>19</v>
      </c>
      <c r="R131" s="220"/>
      <c r="S131" s="440"/>
      <c r="T131" s="440"/>
      <c r="U131" s="440"/>
      <c r="V131" s="440"/>
      <c r="W131" s="440"/>
    </row>
    <row r="132" spans="1:23" s="193" customFormat="1" x14ac:dyDescent="0.2">
      <c r="A132" s="424"/>
      <c r="B132" s="426"/>
      <c r="C132" s="425"/>
      <c r="D132" s="425"/>
      <c r="E132" s="423"/>
      <c r="F132" s="423"/>
      <c r="G132" s="423"/>
      <c r="H132" s="423"/>
      <c r="I132" s="423"/>
      <c r="J132" s="430"/>
      <c r="K132" s="115" t="s">
        <v>198</v>
      </c>
      <c r="L132" s="116" t="s">
        <v>124</v>
      </c>
      <c r="M132" s="115" t="s">
        <v>35</v>
      </c>
      <c r="N132" s="221">
        <v>580</v>
      </c>
      <c r="O132" s="221">
        <v>600</v>
      </c>
      <c r="P132" s="221">
        <v>600</v>
      </c>
      <c r="Q132" s="224" t="s">
        <v>19</v>
      </c>
      <c r="R132" s="220"/>
      <c r="S132" s="148"/>
      <c r="T132" s="148"/>
      <c r="U132" s="148"/>
      <c r="V132" s="148"/>
      <c r="W132" s="148"/>
    </row>
    <row r="133" spans="1:23" s="193" customFormat="1" x14ac:dyDescent="0.2">
      <c r="A133" s="424"/>
      <c r="B133" s="426"/>
      <c r="C133" s="425"/>
      <c r="D133" s="425"/>
      <c r="E133" s="423"/>
      <c r="F133" s="423"/>
      <c r="G133" s="423"/>
      <c r="H133" s="423"/>
      <c r="I133" s="423"/>
      <c r="J133" s="430"/>
      <c r="K133" s="115" t="s">
        <v>220</v>
      </c>
      <c r="L133" s="116" t="s">
        <v>166</v>
      </c>
      <c r="M133" s="115" t="s">
        <v>11</v>
      </c>
      <c r="N133" s="221">
        <v>50</v>
      </c>
      <c r="O133" s="221">
        <v>60</v>
      </c>
      <c r="P133" s="221">
        <v>70</v>
      </c>
      <c r="Q133" s="224" t="s">
        <v>19</v>
      </c>
      <c r="R133" s="220"/>
      <c r="S133" s="222"/>
    </row>
    <row r="134" spans="1:23" s="193" customFormat="1" x14ac:dyDescent="0.2">
      <c r="A134" s="424"/>
      <c r="B134" s="426"/>
      <c r="C134" s="425"/>
      <c r="D134" s="425"/>
      <c r="E134" s="423"/>
      <c r="F134" s="423"/>
      <c r="G134" s="423"/>
      <c r="H134" s="423"/>
      <c r="I134" s="423"/>
      <c r="J134" s="430"/>
      <c r="K134" s="115" t="s">
        <v>126</v>
      </c>
      <c r="L134" s="116" t="s">
        <v>121</v>
      </c>
      <c r="M134" s="115" t="s">
        <v>12</v>
      </c>
      <c r="N134" s="221">
        <v>40</v>
      </c>
      <c r="O134" s="221">
        <v>45</v>
      </c>
      <c r="P134" s="221">
        <v>50</v>
      </c>
      <c r="Q134" s="224" t="s">
        <v>19</v>
      </c>
      <c r="R134" s="220"/>
    </row>
    <row r="135" spans="1:23" s="193" customFormat="1" x14ac:dyDescent="0.2">
      <c r="A135" s="424"/>
      <c r="B135" s="426"/>
      <c r="C135" s="425"/>
      <c r="D135" s="425"/>
      <c r="E135" s="423"/>
      <c r="F135" s="423"/>
      <c r="G135" s="423"/>
      <c r="H135" s="423"/>
      <c r="I135" s="423"/>
      <c r="J135" s="430"/>
      <c r="K135" s="115" t="s">
        <v>127</v>
      </c>
      <c r="L135" s="116" t="s">
        <v>84</v>
      </c>
      <c r="M135" s="115" t="s">
        <v>35</v>
      </c>
      <c r="N135" s="221">
        <v>4000</v>
      </c>
      <c r="O135" s="221">
        <v>4300</v>
      </c>
      <c r="P135" s="221">
        <v>4500</v>
      </c>
      <c r="Q135" s="224" t="s">
        <v>19</v>
      </c>
      <c r="R135" s="220"/>
    </row>
    <row r="136" spans="1:23" s="193" customFormat="1" x14ac:dyDescent="0.2">
      <c r="A136" s="424"/>
      <c r="B136" s="426"/>
      <c r="C136" s="425"/>
      <c r="D136" s="425"/>
      <c r="E136" s="105" t="s">
        <v>14</v>
      </c>
      <c r="F136" s="107">
        <v>941.4</v>
      </c>
      <c r="G136" s="106">
        <v>1056.4000000000001</v>
      </c>
      <c r="H136" s="106">
        <f>ROUND(G136*Lapas1!$B$1, 1)</f>
        <v>1140.9000000000001</v>
      </c>
      <c r="I136" s="106">
        <f>ROUND(H136*Lapas1!$B$1, 1)</f>
        <v>1232.2</v>
      </c>
      <c r="J136" s="108"/>
      <c r="K136" s="108"/>
      <c r="L136" s="109"/>
      <c r="M136" s="109"/>
      <c r="N136" s="110"/>
      <c r="O136" s="223"/>
      <c r="P136" s="223"/>
      <c r="Q136" s="223"/>
      <c r="R136" s="220"/>
    </row>
    <row r="137" spans="1:23" s="193" customFormat="1" x14ac:dyDescent="0.2">
      <c r="A137" s="424"/>
      <c r="B137" s="426"/>
      <c r="C137" s="425"/>
      <c r="D137" s="425"/>
      <c r="E137" s="105" t="s">
        <v>15</v>
      </c>
      <c r="F137" s="107">
        <v>33.799999999999997</v>
      </c>
      <c r="G137" s="106">
        <v>38.6</v>
      </c>
      <c r="H137" s="106">
        <f>ROUND(G137*Lapas1!$B$2, 1)</f>
        <v>41.7</v>
      </c>
      <c r="I137" s="106">
        <f>ROUND(H137*Lapas1!$B$2, 1)</f>
        <v>45</v>
      </c>
      <c r="J137" s="108"/>
      <c r="K137" s="108"/>
      <c r="L137" s="109"/>
      <c r="M137" s="109"/>
      <c r="N137" s="110"/>
      <c r="O137" s="223"/>
      <c r="P137" s="223"/>
      <c r="Q137" s="223"/>
      <c r="R137" s="220"/>
    </row>
    <row r="138" spans="1:23" s="193" customFormat="1" x14ac:dyDescent="0.2">
      <c r="A138" s="424"/>
      <c r="B138" s="426"/>
      <c r="C138" s="425"/>
      <c r="D138" s="425"/>
      <c r="E138" s="105" t="s">
        <v>17</v>
      </c>
      <c r="F138" s="107">
        <v>519.70000000000005</v>
      </c>
      <c r="G138" s="106">
        <f>434+2.9+34.3</f>
        <v>471.2</v>
      </c>
      <c r="H138" s="106">
        <f>ROUND(G138*Lapas1!$B$3, 1)</f>
        <v>508.9</v>
      </c>
      <c r="I138" s="106">
        <f>ROUND(H138*Lapas1!$B$3, 1)</f>
        <v>549.6</v>
      </c>
      <c r="J138" s="108"/>
      <c r="K138" s="108"/>
      <c r="L138" s="109"/>
      <c r="M138" s="109"/>
      <c r="N138" s="110"/>
      <c r="O138" s="223"/>
      <c r="P138" s="223"/>
      <c r="Q138" s="223"/>
      <c r="R138" s="220"/>
    </row>
    <row r="139" spans="1:23" s="193" customFormat="1" x14ac:dyDescent="0.2">
      <c r="A139" s="424"/>
      <c r="B139" s="426"/>
      <c r="C139" s="425"/>
      <c r="D139" s="425"/>
      <c r="E139" s="184" t="s">
        <v>22</v>
      </c>
      <c r="F139" s="112">
        <f>SUM(F136:F138)</f>
        <v>1494.9</v>
      </c>
      <c r="G139" s="174">
        <f t="shared" ref="G139" si="30">SUM(G136:G138)</f>
        <v>1566.2</v>
      </c>
      <c r="H139" s="112">
        <f t="shared" ref="H139" si="31">SUM(H136:H138)</f>
        <v>1691.5</v>
      </c>
      <c r="I139" s="112">
        <f t="shared" ref="I139" si="32">SUM(I136:I138)</f>
        <v>1826.8000000000002</v>
      </c>
      <c r="J139" s="108"/>
      <c r="K139" s="108"/>
      <c r="L139" s="109"/>
      <c r="M139" s="109"/>
      <c r="N139" s="110"/>
      <c r="O139" s="223"/>
      <c r="P139" s="223"/>
      <c r="Q139" s="223"/>
      <c r="R139" s="114">
        <f>(G139-F139)/F139</f>
        <v>4.7695498026623824E-2</v>
      </c>
    </row>
    <row r="140" spans="1:23" s="193" customFormat="1" x14ac:dyDescent="0.2">
      <c r="A140" s="424" t="s">
        <v>0</v>
      </c>
      <c r="B140" s="426" t="s">
        <v>0</v>
      </c>
      <c r="C140" s="430">
        <v>14</v>
      </c>
      <c r="D140" s="430" t="s">
        <v>21</v>
      </c>
      <c r="E140" s="423" t="s">
        <v>40</v>
      </c>
      <c r="F140" s="423"/>
      <c r="G140" s="423"/>
      <c r="H140" s="423"/>
      <c r="I140" s="423"/>
      <c r="J140" s="430" t="s">
        <v>19</v>
      </c>
      <c r="K140" s="115" t="s">
        <v>221</v>
      </c>
      <c r="L140" s="116" t="s">
        <v>162</v>
      </c>
      <c r="M140" s="115" t="s">
        <v>11</v>
      </c>
      <c r="N140" s="221">
        <v>100</v>
      </c>
      <c r="O140" s="221">
        <v>100</v>
      </c>
      <c r="P140" s="221">
        <v>100</v>
      </c>
      <c r="Q140" s="224" t="s">
        <v>19</v>
      </c>
      <c r="R140" s="220"/>
      <c r="S140" s="439"/>
      <c r="T140" s="439"/>
      <c r="U140" s="439"/>
      <c r="V140" s="439"/>
      <c r="W140" s="439"/>
    </row>
    <row r="141" spans="1:23" s="193" customFormat="1" ht="25.5" x14ac:dyDescent="0.2">
      <c r="A141" s="424"/>
      <c r="B141" s="426"/>
      <c r="C141" s="430"/>
      <c r="D141" s="430"/>
      <c r="E141" s="423"/>
      <c r="F141" s="423"/>
      <c r="G141" s="423"/>
      <c r="H141" s="423"/>
      <c r="I141" s="423"/>
      <c r="J141" s="430"/>
      <c r="K141" s="115" t="s">
        <v>222</v>
      </c>
      <c r="L141" s="116" t="s">
        <v>167</v>
      </c>
      <c r="M141" s="115" t="s">
        <v>11</v>
      </c>
      <c r="N141" s="221">
        <v>100</v>
      </c>
      <c r="O141" s="221">
        <v>100</v>
      </c>
      <c r="P141" s="221">
        <v>100</v>
      </c>
      <c r="Q141" s="224" t="s">
        <v>19</v>
      </c>
      <c r="R141" s="220"/>
      <c r="S141" s="439"/>
      <c r="T141" s="439"/>
      <c r="U141" s="439"/>
      <c r="V141" s="148"/>
      <c r="W141" s="148"/>
    </row>
    <row r="142" spans="1:23" s="193" customFormat="1" ht="25.5" x14ac:dyDescent="0.2">
      <c r="A142" s="424"/>
      <c r="B142" s="426"/>
      <c r="C142" s="430"/>
      <c r="D142" s="430"/>
      <c r="E142" s="423"/>
      <c r="F142" s="423"/>
      <c r="G142" s="423"/>
      <c r="H142" s="423"/>
      <c r="I142" s="423"/>
      <c r="J142" s="430"/>
      <c r="K142" s="115" t="s">
        <v>223</v>
      </c>
      <c r="L142" s="116" t="s">
        <v>43</v>
      </c>
      <c r="M142" s="115" t="s">
        <v>35</v>
      </c>
      <c r="N142" s="221">
        <v>108</v>
      </c>
      <c r="O142" s="221">
        <v>108</v>
      </c>
      <c r="P142" s="221">
        <v>108</v>
      </c>
      <c r="Q142" s="224" t="s">
        <v>19</v>
      </c>
      <c r="R142" s="220"/>
    </row>
    <row r="143" spans="1:23" s="193" customFormat="1" ht="25.5" x14ac:dyDescent="0.2">
      <c r="A143" s="424"/>
      <c r="B143" s="426"/>
      <c r="C143" s="430"/>
      <c r="D143" s="430"/>
      <c r="E143" s="423"/>
      <c r="F143" s="423"/>
      <c r="G143" s="423"/>
      <c r="H143" s="423"/>
      <c r="I143" s="423"/>
      <c r="J143" s="430"/>
      <c r="K143" s="115" t="s">
        <v>224</v>
      </c>
      <c r="L143" s="116" t="s">
        <v>44</v>
      </c>
      <c r="M143" s="115" t="s">
        <v>35</v>
      </c>
      <c r="N143" s="221">
        <v>40</v>
      </c>
      <c r="O143" s="221">
        <v>40</v>
      </c>
      <c r="P143" s="221">
        <v>40</v>
      </c>
      <c r="Q143" s="224" t="s">
        <v>19</v>
      </c>
      <c r="R143" s="220"/>
    </row>
    <row r="144" spans="1:23" s="193" customFormat="1" x14ac:dyDescent="0.2">
      <c r="A144" s="424"/>
      <c r="B144" s="426"/>
      <c r="C144" s="430"/>
      <c r="D144" s="430"/>
      <c r="E144" s="105" t="s">
        <v>14</v>
      </c>
      <c r="F144" s="107">
        <v>470.9</v>
      </c>
      <c r="G144" s="106">
        <v>566.29999999999995</v>
      </c>
      <c r="H144" s="106">
        <f>ROUND(G144*Lapas1!$B$1, 1)</f>
        <v>611.6</v>
      </c>
      <c r="I144" s="106">
        <f>ROUND(H144*Lapas1!$B$1, 1)</f>
        <v>660.5</v>
      </c>
      <c r="J144" s="108"/>
      <c r="K144" s="108"/>
      <c r="L144" s="109"/>
      <c r="M144" s="109"/>
      <c r="N144" s="110"/>
      <c r="O144" s="223"/>
      <c r="P144" s="223"/>
      <c r="Q144" s="223"/>
      <c r="R144" s="220"/>
    </row>
    <row r="145" spans="1:23" s="193" customFormat="1" x14ac:dyDescent="0.2">
      <c r="A145" s="424"/>
      <c r="B145" s="426"/>
      <c r="C145" s="430"/>
      <c r="D145" s="430"/>
      <c r="E145" s="105" t="s">
        <v>15</v>
      </c>
      <c r="F145" s="107">
        <v>461.69799999999998</v>
      </c>
      <c r="G145" s="106">
        <v>465.2</v>
      </c>
      <c r="H145" s="106">
        <f>ROUND(G145*Lapas1!$B$2, 1)</f>
        <v>502.4</v>
      </c>
      <c r="I145" s="106">
        <f>ROUND(H145*Lapas1!$B$2, 1)</f>
        <v>542.6</v>
      </c>
      <c r="J145" s="108"/>
      <c r="K145" s="108"/>
      <c r="L145" s="109"/>
      <c r="M145" s="109"/>
      <c r="N145" s="110"/>
      <c r="O145" s="223"/>
      <c r="P145" s="223"/>
      <c r="Q145" s="223"/>
      <c r="R145" s="220"/>
    </row>
    <row r="146" spans="1:23" s="193" customFormat="1" x14ac:dyDescent="0.2">
      <c r="A146" s="424"/>
      <c r="B146" s="426"/>
      <c r="C146" s="430"/>
      <c r="D146" s="430"/>
      <c r="E146" s="105" t="s">
        <v>17</v>
      </c>
      <c r="F146" s="107">
        <v>76</v>
      </c>
      <c r="G146" s="106">
        <v>75.5</v>
      </c>
      <c r="H146" s="106">
        <f>ROUND(G146*Lapas1!$B$3, 1)</f>
        <v>81.5</v>
      </c>
      <c r="I146" s="106">
        <f>ROUND(H146*Lapas1!$B$3, 1)</f>
        <v>88</v>
      </c>
      <c r="J146" s="108"/>
      <c r="K146" s="108"/>
      <c r="L146" s="109"/>
      <c r="M146" s="109"/>
      <c r="N146" s="110"/>
      <c r="O146" s="223"/>
      <c r="P146" s="223"/>
      <c r="Q146" s="223"/>
      <c r="R146" s="220"/>
    </row>
    <row r="147" spans="1:23" s="193" customFormat="1" x14ac:dyDescent="0.2">
      <c r="A147" s="424"/>
      <c r="B147" s="426"/>
      <c r="C147" s="430"/>
      <c r="D147" s="430"/>
      <c r="E147" s="184" t="s">
        <v>22</v>
      </c>
      <c r="F147" s="112">
        <f>SUM(F144:F146)</f>
        <v>1008.598</v>
      </c>
      <c r="G147" s="174">
        <f t="shared" ref="G147" si="33">SUM(G144:G146)</f>
        <v>1107</v>
      </c>
      <c r="H147" s="112">
        <f t="shared" ref="H147" si="34">SUM(H144:H146)</f>
        <v>1195.5</v>
      </c>
      <c r="I147" s="112">
        <f t="shared" ref="I147" si="35">SUM(I144:I146)</f>
        <v>1291.0999999999999</v>
      </c>
      <c r="J147" s="108"/>
      <c r="K147" s="108"/>
      <c r="L147" s="109"/>
      <c r="M147" s="109"/>
      <c r="N147" s="110"/>
      <c r="O147" s="223"/>
      <c r="P147" s="223"/>
      <c r="Q147" s="223"/>
      <c r="R147" s="114">
        <f>(G147-F147)/F147</f>
        <v>9.7563152018941196E-2</v>
      </c>
    </row>
    <row r="148" spans="1:23" s="193" customFormat="1" x14ac:dyDescent="0.2">
      <c r="A148" s="424" t="s">
        <v>0</v>
      </c>
      <c r="B148" s="426" t="s">
        <v>0</v>
      </c>
      <c r="C148" s="425" t="s">
        <v>129</v>
      </c>
      <c r="D148" s="425" t="s">
        <v>21</v>
      </c>
      <c r="E148" s="423" t="s">
        <v>45</v>
      </c>
      <c r="F148" s="423"/>
      <c r="G148" s="423"/>
      <c r="H148" s="423"/>
      <c r="I148" s="423"/>
      <c r="J148" s="430" t="s">
        <v>19</v>
      </c>
      <c r="K148" s="115" t="s">
        <v>225</v>
      </c>
      <c r="L148" s="116" t="s">
        <v>162</v>
      </c>
      <c r="M148" s="115" t="s">
        <v>11</v>
      </c>
      <c r="N148" s="221">
        <v>100</v>
      </c>
      <c r="O148" s="221">
        <v>100</v>
      </c>
      <c r="P148" s="221">
        <v>100</v>
      </c>
      <c r="Q148" s="224" t="s">
        <v>19</v>
      </c>
      <c r="R148" s="220"/>
      <c r="S148" s="439"/>
      <c r="T148" s="439"/>
      <c r="U148" s="439"/>
      <c r="V148" s="439"/>
      <c r="W148" s="439"/>
    </row>
    <row r="149" spans="1:23" s="193" customFormat="1" ht="25.5" x14ac:dyDescent="0.2">
      <c r="A149" s="424"/>
      <c r="B149" s="426"/>
      <c r="C149" s="425"/>
      <c r="D149" s="425"/>
      <c r="E149" s="423"/>
      <c r="F149" s="423"/>
      <c r="G149" s="423"/>
      <c r="H149" s="423"/>
      <c r="I149" s="423"/>
      <c r="J149" s="430"/>
      <c r="K149" s="115" t="s">
        <v>226</v>
      </c>
      <c r="L149" s="116" t="s">
        <v>167</v>
      </c>
      <c r="M149" s="115" t="s">
        <v>11</v>
      </c>
      <c r="N149" s="221">
        <v>100</v>
      </c>
      <c r="O149" s="221">
        <v>100</v>
      </c>
      <c r="P149" s="221">
        <v>100</v>
      </c>
      <c r="Q149" s="224" t="s">
        <v>19</v>
      </c>
      <c r="R149" s="220"/>
      <c r="S149" s="439"/>
      <c r="T149" s="439"/>
      <c r="U149" s="439"/>
      <c r="V149" s="148"/>
      <c r="W149" s="148"/>
    </row>
    <row r="150" spans="1:23" s="193" customFormat="1" ht="25.5" x14ac:dyDescent="0.2">
      <c r="A150" s="424"/>
      <c r="B150" s="426"/>
      <c r="C150" s="425"/>
      <c r="D150" s="425"/>
      <c r="E150" s="423"/>
      <c r="F150" s="423"/>
      <c r="G150" s="423"/>
      <c r="H150" s="423"/>
      <c r="I150" s="423"/>
      <c r="J150" s="430"/>
      <c r="K150" s="115" t="s">
        <v>227</v>
      </c>
      <c r="L150" s="116" t="s">
        <v>43</v>
      </c>
      <c r="M150" s="115" t="s">
        <v>35</v>
      </c>
      <c r="N150" s="221">
        <v>173</v>
      </c>
      <c r="O150" s="221">
        <v>173</v>
      </c>
      <c r="P150" s="221">
        <v>173</v>
      </c>
      <c r="Q150" s="224" t="s">
        <v>19</v>
      </c>
      <c r="R150" s="220"/>
    </row>
    <row r="151" spans="1:23" s="193" customFormat="1" ht="25.5" x14ac:dyDescent="0.2">
      <c r="A151" s="424"/>
      <c r="B151" s="426"/>
      <c r="C151" s="425"/>
      <c r="D151" s="425"/>
      <c r="E151" s="423"/>
      <c r="F151" s="423"/>
      <c r="G151" s="423"/>
      <c r="H151" s="423"/>
      <c r="I151" s="423"/>
      <c r="J151" s="430"/>
      <c r="K151" s="115" t="s">
        <v>228</v>
      </c>
      <c r="L151" s="116" t="s">
        <v>44</v>
      </c>
      <c r="M151" s="115" t="s">
        <v>35</v>
      </c>
      <c r="N151" s="221">
        <v>43</v>
      </c>
      <c r="O151" s="221">
        <v>40</v>
      </c>
      <c r="P151" s="221">
        <v>40</v>
      </c>
      <c r="Q151" s="224" t="s">
        <v>19</v>
      </c>
      <c r="R151" s="220"/>
    </row>
    <row r="152" spans="1:23" s="193" customFormat="1" x14ac:dyDescent="0.2">
      <c r="A152" s="424"/>
      <c r="B152" s="426"/>
      <c r="C152" s="425"/>
      <c r="D152" s="425"/>
      <c r="E152" s="105" t="s">
        <v>14</v>
      </c>
      <c r="F152" s="107">
        <v>805.3</v>
      </c>
      <c r="G152" s="106">
        <v>850.1</v>
      </c>
      <c r="H152" s="106">
        <f>ROUND(G152*Lapas1!$B$1, 1)</f>
        <v>918.1</v>
      </c>
      <c r="I152" s="106">
        <f>ROUND(H152*Lapas1!$B$1, 1)</f>
        <v>991.5</v>
      </c>
      <c r="J152" s="108"/>
      <c r="K152" s="108"/>
      <c r="L152" s="109"/>
      <c r="M152" s="109"/>
      <c r="N152" s="110"/>
      <c r="O152" s="223"/>
      <c r="P152" s="223"/>
      <c r="Q152" s="223"/>
      <c r="R152" s="220"/>
    </row>
    <row r="153" spans="1:23" s="193" customFormat="1" x14ac:dyDescent="0.2">
      <c r="A153" s="424"/>
      <c r="B153" s="426"/>
      <c r="C153" s="425"/>
      <c r="D153" s="425"/>
      <c r="E153" s="105" t="s">
        <v>15</v>
      </c>
      <c r="F153" s="107">
        <v>601.6</v>
      </c>
      <c r="G153" s="106">
        <v>659</v>
      </c>
      <c r="H153" s="106">
        <f>ROUND(G153*Lapas1!$B$2, 1)</f>
        <v>711.7</v>
      </c>
      <c r="I153" s="106">
        <f>ROUND(H153*Lapas1!$B$2, 1)</f>
        <v>768.6</v>
      </c>
      <c r="J153" s="108"/>
      <c r="K153" s="108"/>
      <c r="L153" s="109"/>
      <c r="M153" s="109"/>
      <c r="N153" s="110"/>
      <c r="O153" s="223"/>
      <c r="P153" s="223"/>
      <c r="Q153" s="223"/>
      <c r="R153" s="220"/>
    </row>
    <row r="154" spans="1:23" s="193" customFormat="1" x14ac:dyDescent="0.2">
      <c r="A154" s="424"/>
      <c r="B154" s="426"/>
      <c r="C154" s="425"/>
      <c r="D154" s="425"/>
      <c r="E154" s="105" t="s">
        <v>17</v>
      </c>
      <c r="F154" s="107">
        <v>94.3</v>
      </c>
      <c r="G154" s="106">
        <v>104.5</v>
      </c>
      <c r="H154" s="106">
        <f>ROUND(G154*Lapas1!$B$3, 1)</f>
        <v>112.9</v>
      </c>
      <c r="I154" s="106">
        <f>ROUND(H154*Lapas1!$B$3, 1)</f>
        <v>121.9</v>
      </c>
      <c r="J154" s="108"/>
      <c r="K154" s="108"/>
      <c r="L154" s="109"/>
      <c r="M154" s="109"/>
      <c r="N154" s="110"/>
      <c r="O154" s="223"/>
      <c r="P154" s="223"/>
      <c r="Q154" s="223"/>
      <c r="R154" s="220"/>
    </row>
    <row r="155" spans="1:23" s="193" customFormat="1" x14ac:dyDescent="0.2">
      <c r="A155" s="424"/>
      <c r="B155" s="426"/>
      <c r="C155" s="425"/>
      <c r="D155" s="425"/>
      <c r="E155" s="184" t="s">
        <v>22</v>
      </c>
      <c r="F155" s="112">
        <f>SUM(F152:F154)</f>
        <v>1501.2</v>
      </c>
      <c r="G155" s="174">
        <f t="shared" ref="G155" si="36">SUM(G152:G154)</f>
        <v>1613.6</v>
      </c>
      <c r="H155" s="112">
        <f t="shared" ref="H155" si="37">SUM(H152:H154)</f>
        <v>1742.7000000000003</v>
      </c>
      <c r="I155" s="112">
        <f t="shared" ref="I155" si="38">SUM(I152:I154)</f>
        <v>1882</v>
      </c>
      <c r="J155" s="108"/>
      <c r="K155" s="108"/>
      <c r="L155" s="109"/>
      <c r="M155" s="109"/>
      <c r="N155" s="110"/>
      <c r="O155" s="223"/>
      <c r="P155" s="223"/>
      <c r="Q155" s="223"/>
      <c r="R155" s="114">
        <f>(G155-F155)/F155</f>
        <v>7.4873434585664714E-2</v>
      </c>
    </row>
    <row r="156" spans="1:23" s="193" customFormat="1" x14ac:dyDescent="0.2">
      <c r="A156" s="424" t="s">
        <v>0</v>
      </c>
      <c r="B156" s="426" t="s">
        <v>0</v>
      </c>
      <c r="C156" s="425" t="s">
        <v>130</v>
      </c>
      <c r="D156" s="425" t="s">
        <v>21</v>
      </c>
      <c r="E156" s="423" t="s">
        <v>46</v>
      </c>
      <c r="F156" s="423"/>
      <c r="G156" s="423"/>
      <c r="H156" s="423"/>
      <c r="I156" s="423"/>
      <c r="J156" s="430" t="s">
        <v>19</v>
      </c>
      <c r="K156" s="115" t="s">
        <v>229</v>
      </c>
      <c r="L156" s="116" t="s">
        <v>162</v>
      </c>
      <c r="M156" s="103" t="s">
        <v>11</v>
      </c>
      <c r="N156" s="221">
        <v>100</v>
      </c>
      <c r="O156" s="221">
        <v>100</v>
      </c>
      <c r="P156" s="221">
        <v>100</v>
      </c>
      <c r="Q156" s="224" t="s">
        <v>19</v>
      </c>
      <c r="R156" s="220"/>
      <c r="S156" s="439"/>
      <c r="T156" s="439"/>
      <c r="U156" s="439"/>
      <c r="V156" s="439"/>
      <c r="W156" s="439"/>
    </row>
    <row r="157" spans="1:23" s="193" customFormat="1" ht="25.5" x14ac:dyDescent="0.2">
      <c r="A157" s="424"/>
      <c r="B157" s="426"/>
      <c r="C157" s="425"/>
      <c r="D157" s="425"/>
      <c r="E157" s="423"/>
      <c r="F157" s="423"/>
      <c r="G157" s="423"/>
      <c r="H157" s="423"/>
      <c r="I157" s="423"/>
      <c r="J157" s="430"/>
      <c r="K157" s="115" t="s">
        <v>230</v>
      </c>
      <c r="L157" s="116" t="s">
        <v>167</v>
      </c>
      <c r="M157" s="103" t="s">
        <v>11</v>
      </c>
      <c r="N157" s="221">
        <v>100</v>
      </c>
      <c r="O157" s="221">
        <v>100</v>
      </c>
      <c r="P157" s="221">
        <v>100</v>
      </c>
      <c r="Q157" s="224" t="s">
        <v>19</v>
      </c>
      <c r="R157" s="220"/>
      <c r="S157" s="439"/>
      <c r="T157" s="439"/>
      <c r="U157" s="439"/>
      <c r="V157" s="148"/>
      <c r="W157" s="148"/>
    </row>
    <row r="158" spans="1:23" s="193" customFormat="1" ht="25.5" x14ac:dyDescent="0.2">
      <c r="A158" s="424"/>
      <c r="B158" s="426"/>
      <c r="C158" s="425"/>
      <c r="D158" s="425"/>
      <c r="E158" s="423"/>
      <c r="F158" s="423"/>
      <c r="G158" s="423"/>
      <c r="H158" s="423"/>
      <c r="I158" s="423"/>
      <c r="J158" s="430"/>
      <c r="K158" s="115" t="s">
        <v>231</v>
      </c>
      <c r="L158" s="116" t="s">
        <v>43</v>
      </c>
      <c r="M158" s="103" t="s">
        <v>35</v>
      </c>
      <c r="N158" s="221">
        <v>209</v>
      </c>
      <c r="O158" s="221">
        <v>220</v>
      </c>
      <c r="P158" s="221">
        <v>220</v>
      </c>
      <c r="Q158" s="224" t="s">
        <v>19</v>
      </c>
      <c r="R158" s="220"/>
    </row>
    <row r="159" spans="1:23" s="193" customFormat="1" ht="25.5" x14ac:dyDescent="0.2">
      <c r="A159" s="424"/>
      <c r="B159" s="426"/>
      <c r="C159" s="425"/>
      <c r="D159" s="425"/>
      <c r="E159" s="423"/>
      <c r="F159" s="423"/>
      <c r="G159" s="423"/>
      <c r="H159" s="423"/>
      <c r="I159" s="423"/>
      <c r="J159" s="430"/>
      <c r="K159" s="115" t="s">
        <v>232</v>
      </c>
      <c r="L159" s="116" t="s">
        <v>44</v>
      </c>
      <c r="M159" s="103" t="s">
        <v>35</v>
      </c>
      <c r="N159" s="221">
        <v>46</v>
      </c>
      <c r="O159" s="221">
        <v>50</v>
      </c>
      <c r="P159" s="221">
        <v>55</v>
      </c>
      <c r="Q159" s="224" t="s">
        <v>19</v>
      </c>
      <c r="R159" s="220"/>
    </row>
    <row r="160" spans="1:23" s="193" customFormat="1" x14ac:dyDescent="0.2">
      <c r="A160" s="424"/>
      <c r="B160" s="426"/>
      <c r="C160" s="425"/>
      <c r="D160" s="425"/>
      <c r="E160" s="105" t="s">
        <v>14</v>
      </c>
      <c r="F160" s="107">
        <v>737.5</v>
      </c>
      <c r="G160" s="106">
        <v>856.3</v>
      </c>
      <c r="H160" s="106">
        <f>ROUND(G160*Lapas1!$B$1, 1)</f>
        <v>924.8</v>
      </c>
      <c r="I160" s="106">
        <f>ROUND(H160*Lapas1!$B$1, 1)</f>
        <v>998.8</v>
      </c>
      <c r="J160" s="108"/>
      <c r="K160" s="108"/>
      <c r="L160" s="109"/>
      <c r="M160" s="109"/>
      <c r="N160" s="110"/>
      <c r="O160" s="223"/>
      <c r="P160" s="223"/>
      <c r="Q160" s="223"/>
      <c r="R160" s="220"/>
    </row>
    <row r="161" spans="1:23" s="193" customFormat="1" x14ac:dyDescent="0.2">
      <c r="A161" s="424"/>
      <c r="B161" s="426"/>
      <c r="C161" s="425"/>
      <c r="D161" s="425"/>
      <c r="E161" s="105" t="s">
        <v>15</v>
      </c>
      <c r="F161" s="107">
        <v>785.05</v>
      </c>
      <c r="G161" s="106">
        <v>820.6</v>
      </c>
      <c r="H161" s="106">
        <f>ROUND(G161*Lapas1!$B$2, 1)</f>
        <v>886.2</v>
      </c>
      <c r="I161" s="106">
        <f>ROUND(H161*Lapas1!$B$2, 1)</f>
        <v>957.1</v>
      </c>
      <c r="J161" s="108"/>
      <c r="K161" s="108"/>
      <c r="L161" s="109"/>
      <c r="M161" s="109"/>
      <c r="N161" s="110"/>
      <c r="O161" s="223"/>
      <c r="P161" s="223"/>
      <c r="Q161" s="223"/>
      <c r="R161" s="220"/>
    </row>
    <row r="162" spans="1:23" s="193" customFormat="1" x14ac:dyDescent="0.2">
      <c r="A162" s="424"/>
      <c r="B162" s="426"/>
      <c r="C162" s="425"/>
      <c r="D162" s="425"/>
      <c r="E162" s="105" t="s">
        <v>17</v>
      </c>
      <c r="F162" s="107">
        <v>126.8</v>
      </c>
      <c r="G162" s="106">
        <v>124.2</v>
      </c>
      <c r="H162" s="106">
        <f>ROUND(G162*Lapas1!$B$3, 1)</f>
        <v>134.1</v>
      </c>
      <c r="I162" s="106">
        <f>ROUND(H162*Lapas1!$B$3, 1)</f>
        <v>144.80000000000001</v>
      </c>
      <c r="J162" s="108"/>
      <c r="K162" s="108"/>
      <c r="L162" s="109"/>
      <c r="M162" s="109"/>
      <c r="N162" s="110"/>
      <c r="O162" s="223"/>
      <c r="P162" s="223"/>
      <c r="Q162" s="223"/>
      <c r="R162" s="220"/>
    </row>
    <row r="163" spans="1:23" s="193" customFormat="1" x14ac:dyDescent="0.2">
      <c r="A163" s="424"/>
      <c r="B163" s="426"/>
      <c r="C163" s="425"/>
      <c r="D163" s="425"/>
      <c r="E163" s="184" t="s">
        <v>22</v>
      </c>
      <c r="F163" s="112">
        <f>SUM(F160:F162)</f>
        <v>1649.35</v>
      </c>
      <c r="G163" s="174">
        <f t="shared" ref="G163" si="39">SUM(G160:G162)</f>
        <v>1801.1000000000001</v>
      </c>
      <c r="H163" s="112">
        <f t="shared" ref="H163" si="40">SUM(H160:H162)</f>
        <v>1945.1</v>
      </c>
      <c r="I163" s="112">
        <f t="shared" ref="I163" si="41">SUM(I160:I162)</f>
        <v>2100.7000000000003</v>
      </c>
      <c r="J163" s="108"/>
      <c r="K163" s="108"/>
      <c r="L163" s="109"/>
      <c r="M163" s="109"/>
      <c r="N163" s="110"/>
      <c r="O163" s="223"/>
      <c r="P163" s="223"/>
      <c r="Q163" s="223"/>
      <c r="R163" s="114">
        <f>(G163-F163)/F163</f>
        <v>9.200594173462287E-2</v>
      </c>
    </row>
    <row r="164" spans="1:23" s="193" customFormat="1" x14ac:dyDescent="0.2">
      <c r="A164" s="424" t="s">
        <v>0</v>
      </c>
      <c r="B164" s="426" t="s">
        <v>0</v>
      </c>
      <c r="C164" s="425" t="s">
        <v>131</v>
      </c>
      <c r="D164" s="425" t="s">
        <v>21</v>
      </c>
      <c r="E164" s="423" t="s">
        <v>47</v>
      </c>
      <c r="F164" s="423"/>
      <c r="G164" s="423"/>
      <c r="H164" s="423"/>
      <c r="I164" s="423"/>
      <c r="J164" s="430" t="s">
        <v>19</v>
      </c>
      <c r="K164" s="115" t="s">
        <v>233</v>
      </c>
      <c r="L164" s="116" t="s">
        <v>162</v>
      </c>
      <c r="M164" s="103" t="s">
        <v>11</v>
      </c>
      <c r="N164" s="221">
        <v>100</v>
      </c>
      <c r="O164" s="221">
        <v>100</v>
      </c>
      <c r="P164" s="221">
        <v>100</v>
      </c>
      <c r="Q164" s="224" t="s">
        <v>19</v>
      </c>
      <c r="R164" s="220"/>
      <c r="S164" s="439"/>
      <c r="T164" s="439"/>
      <c r="U164" s="439"/>
      <c r="V164" s="439"/>
      <c r="W164" s="439"/>
    </row>
    <row r="165" spans="1:23" s="193" customFormat="1" ht="25.5" x14ac:dyDescent="0.2">
      <c r="A165" s="424"/>
      <c r="B165" s="426"/>
      <c r="C165" s="425"/>
      <c r="D165" s="425"/>
      <c r="E165" s="423"/>
      <c r="F165" s="423"/>
      <c r="G165" s="423"/>
      <c r="H165" s="423"/>
      <c r="I165" s="423"/>
      <c r="J165" s="430"/>
      <c r="K165" s="115" t="s">
        <v>234</v>
      </c>
      <c r="L165" s="116" t="s">
        <v>167</v>
      </c>
      <c r="M165" s="103" t="s">
        <v>11</v>
      </c>
      <c r="N165" s="221">
        <v>100</v>
      </c>
      <c r="O165" s="221">
        <v>100</v>
      </c>
      <c r="P165" s="221">
        <v>100</v>
      </c>
      <c r="Q165" s="224" t="s">
        <v>19</v>
      </c>
      <c r="R165" s="220"/>
      <c r="S165" s="439"/>
      <c r="T165" s="439"/>
      <c r="U165" s="439"/>
      <c r="V165" s="148"/>
      <c r="W165" s="148"/>
    </row>
    <row r="166" spans="1:23" s="193" customFormat="1" ht="25.5" x14ac:dyDescent="0.2">
      <c r="A166" s="424"/>
      <c r="B166" s="426"/>
      <c r="C166" s="425"/>
      <c r="D166" s="425"/>
      <c r="E166" s="423"/>
      <c r="F166" s="423"/>
      <c r="G166" s="423"/>
      <c r="H166" s="423"/>
      <c r="I166" s="423"/>
      <c r="J166" s="430"/>
      <c r="K166" s="115" t="s">
        <v>235</v>
      </c>
      <c r="L166" s="116" t="s">
        <v>43</v>
      </c>
      <c r="M166" s="103" t="s">
        <v>35</v>
      </c>
      <c r="N166" s="221">
        <v>168</v>
      </c>
      <c r="O166" s="221">
        <v>175</v>
      </c>
      <c r="P166" s="221">
        <v>178</v>
      </c>
      <c r="Q166" s="224" t="s">
        <v>19</v>
      </c>
      <c r="R166" s="220"/>
    </row>
    <row r="167" spans="1:23" s="193" customFormat="1" ht="25.5" x14ac:dyDescent="0.2">
      <c r="A167" s="424"/>
      <c r="B167" s="426"/>
      <c r="C167" s="425"/>
      <c r="D167" s="425"/>
      <c r="E167" s="423"/>
      <c r="F167" s="423"/>
      <c r="G167" s="423"/>
      <c r="H167" s="423"/>
      <c r="I167" s="423"/>
      <c r="J167" s="430"/>
      <c r="K167" s="115" t="s">
        <v>236</v>
      </c>
      <c r="L167" s="116" t="s">
        <v>44</v>
      </c>
      <c r="M167" s="103" t="s">
        <v>35</v>
      </c>
      <c r="N167" s="221">
        <v>42</v>
      </c>
      <c r="O167" s="221">
        <v>45</v>
      </c>
      <c r="P167" s="221">
        <v>42</v>
      </c>
      <c r="Q167" s="224" t="s">
        <v>19</v>
      </c>
      <c r="R167" s="220"/>
    </row>
    <row r="168" spans="1:23" s="193" customFormat="1" x14ac:dyDescent="0.2">
      <c r="A168" s="424"/>
      <c r="B168" s="426"/>
      <c r="C168" s="425"/>
      <c r="D168" s="425"/>
      <c r="E168" s="105" t="s">
        <v>14</v>
      </c>
      <c r="F168" s="264">
        <v>632.29999999999995</v>
      </c>
      <c r="G168" s="106">
        <v>775.3</v>
      </c>
      <c r="H168" s="106">
        <f>ROUND(G168*Lapas1!$B$1, 1)</f>
        <v>837.3</v>
      </c>
      <c r="I168" s="106">
        <f>ROUND(H168*Lapas1!$B$1, 1)</f>
        <v>904.3</v>
      </c>
      <c r="J168" s="108"/>
      <c r="K168" s="108"/>
      <c r="L168" s="109"/>
      <c r="M168" s="109"/>
      <c r="N168" s="110"/>
      <c r="O168" s="223"/>
      <c r="P168" s="223"/>
      <c r="Q168" s="223"/>
      <c r="R168" s="220"/>
    </row>
    <row r="169" spans="1:23" s="193" customFormat="1" x14ac:dyDescent="0.2">
      <c r="A169" s="424"/>
      <c r="B169" s="426"/>
      <c r="C169" s="425"/>
      <c r="D169" s="425"/>
      <c r="E169" s="105" t="s">
        <v>15</v>
      </c>
      <c r="F169" s="107">
        <v>644.58299999999997</v>
      </c>
      <c r="G169" s="106">
        <v>624.6</v>
      </c>
      <c r="H169" s="106">
        <f>ROUND(G169*Lapas1!$B$2, 1)</f>
        <v>674.6</v>
      </c>
      <c r="I169" s="106">
        <f>ROUND(H169*Lapas1!$B$2, 1)</f>
        <v>728.6</v>
      </c>
      <c r="J169" s="108"/>
      <c r="K169" s="108"/>
      <c r="L169" s="109"/>
      <c r="M169" s="109"/>
      <c r="N169" s="110"/>
      <c r="O169" s="223"/>
      <c r="P169" s="223"/>
      <c r="Q169" s="223"/>
      <c r="R169" s="220"/>
    </row>
    <row r="170" spans="1:23" s="193" customFormat="1" x14ac:dyDescent="0.2">
      <c r="A170" s="424"/>
      <c r="B170" s="426"/>
      <c r="C170" s="425"/>
      <c r="D170" s="425"/>
      <c r="E170" s="105" t="s">
        <v>17</v>
      </c>
      <c r="F170" s="107">
        <v>121.7</v>
      </c>
      <c r="G170" s="106">
        <v>127</v>
      </c>
      <c r="H170" s="106">
        <f>ROUND(G170*Lapas1!$B$3, 1)</f>
        <v>137.19999999999999</v>
      </c>
      <c r="I170" s="106">
        <f>ROUND(H170*Lapas1!$B$3, 1)</f>
        <v>148.19999999999999</v>
      </c>
      <c r="J170" s="108"/>
      <c r="K170" s="108"/>
      <c r="L170" s="109"/>
      <c r="M170" s="109"/>
      <c r="N170" s="110"/>
      <c r="O170" s="223"/>
      <c r="P170" s="223"/>
      <c r="Q170" s="223"/>
      <c r="R170" s="220"/>
    </row>
    <row r="171" spans="1:23" s="193" customFormat="1" x14ac:dyDescent="0.2">
      <c r="A171" s="424"/>
      <c r="B171" s="426"/>
      <c r="C171" s="425"/>
      <c r="D171" s="425"/>
      <c r="E171" s="184" t="s">
        <v>22</v>
      </c>
      <c r="F171" s="112">
        <f>SUM(F168:F170)</f>
        <v>1398.5829999999999</v>
      </c>
      <c r="G171" s="174">
        <f t="shared" ref="G171" si="42">SUM(G168:G170)</f>
        <v>1526.9</v>
      </c>
      <c r="H171" s="112">
        <f t="shared" ref="H171" si="43">SUM(H168:H170)</f>
        <v>1649.1000000000001</v>
      </c>
      <c r="I171" s="112">
        <f t="shared" ref="I171" si="44">SUM(I168:I170)</f>
        <v>1781.1000000000001</v>
      </c>
      <c r="J171" s="108"/>
      <c r="K171" s="108"/>
      <c r="L171" s="109"/>
      <c r="M171" s="109"/>
      <c r="N171" s="110"/>
      <c r="O171" s="223"/>
      <c r="P171" s="223"/>
      <c r="Q171" s="223"/>
      <c r="R171" s="114">
        <f>(G171-F171)/F171</f>
        <v>9.1747861943124037E-2</v>
      </c>
    </row>
    <row r="172" spans="1:23" s="193" customFormat="1" x14ac:dyDescent="0.2">
      <c r="A172" s="424" t="s">
        <v>0</v>
      </c>
      <c r="B172" s="426" t="s">
        <v>0</v>
      </c>
      <c r="C172" s="425" t="s">
        <v>883</v>
      </c>
      <c r="D172" s="425" t="s">
        <v>21</v>
      </c>
      <c r="E172" s="423" t="s">
        <v>48</v>
      </c>
      <c r="F172" s="423"/>
      <c r="G172" s="423"/>
      <c r="H172" s="423"/>
      <c r="I172" s="423"/>
      <c r="J172" s="430" t="s">
        <v>19</v>
      </c>
      <c r="K172" s="115" t="s">
        <v>237</v>
      </c>
      <c r="L172" s="70" t="s">
        <v>162</v>
      </c>
      <c r="M172" s="73" t="s">
        <v>11</v>
      </c>
      <c r="N172" s="221">
        <v>100</v>
      </c>
      <c r="O172" s="221">
        <v>100</v>
      </c>
      <c r="P172" s="221">
        <v>100</v>
      </c>
      <c r="Q172" s="224" t="s">
        <v>19</v>
      </c>
      <c r="R172" s="220"/>
      <c r="S172" s="439"/>
      <c r="T172" s="439"/>
      <c r="U172" s="439"/>
      <c r="V172" s="439"/>
      <c r="W172" s="439"/>
    </row>
    <row r="173" spans="1:23" s="193" customFormat="1" ht="25.5" x14ac:dyDescent="0.2">
      <c r="A173" s="424"/>
      <c r="B173" s="426"/>
      <c r="C173" s="425"/>
      <c r="D173" s="425"/>
      <c r="E173" s="423"/>
      <c r="F173" s="423"/>
      <c r="G173" s="423"/>
      <c r="H173" s="423"/>
      <c r="I173" s="423"/>
      <c r="J173" s="430"/>
      <c r="K173" s="115" t="s">
        <v>238</v>
      </c>
      <c r="L173" s="70" t="s">
        <v>167</v>
      </c>
      <c r="M173" s="73" t="s">
        <v>11</v>
      </c>
      <c r="N173" s="221">
        <v>100</v>
      </c>
      <c r="O173" s="221">
        <v>100</v>
      </c>
      <c r="P173" s="221">
        <v>100</v>
      </c>
      <c r="Q173" s="224" t="s">
        <v>19</v>
      </c>
      <c r="R173" s="220"/>
      <c r="S173" s="439"/>
      <c r="T173" s="439"/>
      <c r="U173" s="439"/>
      <c r="V173" s="148"/>
      <c r="W173" s="148"/>
    </row>
    <row r="174" spans="1:23" s="193" customFormat="1" ht="25.5" x14ac:dyDescent="0.2">
      <c r="A174" s="424"/>
      <c r="B174" s="426"/>
      <c r="C174" s="425"/>
      <c r="D174" s="425"/>
      <c r="E174" s="423"/>
      <c r="F174" s="423"/>
      <c r="G174" s="423"/>
      <c r="H174" s="423"/>
      <c r="I174" s="423"/>
      <c r="J174" s="430"/>
      <c r="K174" s="115" t="s">
        <v>239</v>
      </c>
      <c r="L174" s="70" t="s">
        <v>43</v>
      </c>
      <c r="M174" s="73" t="s">
        <v>35</v>
      </c>
      <c r="N174" s="221">
        <v>180</v>
      </c>
      <c r="O174" s="221">
        <v>177</v>
      </c>
      <c r="P174" s="221">
        <v>175</v>
      </c>
      <c r="Q174" s="224" t="s">
        <v>19</v>
      </c>
      <c r="R174" s="220"/>
    </row>
    <row r="175" spans="1:23" s="193" customFormat="1" ht="25.5" x14ac:dyDescent="0.2">
      <c r="A175" s="424"/>
      <c r="B175" s="426"/>
      <c r="C175" s="425"/>
      <c r="D175" s="425"/>
      <c r="E175" s="423"/>
      <c r="F175" s="423"/>
      <c r="G175" s="423"/>
      <c r="H175" s="423"/>
      <c r="I175" s="423"/>
      <c r="J175" s="430"/>
      <c r="K175" s="115" t="s">
        <v>240</v>
      </c>
      <c r="L175" s="70" t="s">
        <v>44</v>
      </c>
      <c r="M175" s="73" t="s">
        <v>35</v>
      </c>
      <c r="N175" s="221">
        <v>50</v>
      </c>
      <c r="O175" s="221">
        <v>40</v>
      </c>
      <c r="P175" s="221">
        <v>40</v>
      </c>
      <c r="Q175" s="224" t="s">
        <v>19</v>
      </c>
      <c r="R175" s="220"/>
    </row>
    <row r="176" spans="1:23" s="193" customFormat="1" x14ac:dyDescent="0.2">
      <c r="A176" s="424"/>
      <c r="B176" s="426"/>
      <c r="C176" s="425"/>
      <c r="D176" s="425"/>
      <c r="E176" s="105" t="s">
        <v>14</v>
      </c>
      <c r="F176" s="107">
        <v>601.9</v>
      </c>
      <c r="G176" s="106">
        <v>686.3</v>
      </c>
      <c r="H176" s="106">
        <f>ROUND(G176*Lapas1!$B$1, 1)</f>
        <v>741.2</v>
      </c>
      <c r="I176" s="106">
        <f>ROUND(H176*Lapas1!$B$1, 1)</f>
        <v>800.5</v>
      </c>
      <c r="J176" s="108"/>
      <c r="K176" s="108"/>
      <c r="L176" s="109"/>
      <c r="M176" s="109"/>
      <c r="N176" s="110"/>
      <c r="O176" s="223"/>
      <c r="P176" s="223"/>
      <c r="Q176" s="223"/>
      <c r="R176" s="220"/>
    </row>
    <row r="177" spans="1:23" s="193" customFormat="1" x14ac:dyDescent="0.2">
      <c r="A177" s="424"/>
      <c r="B177" s="426"/>
      <c r="C177" s="425"/>
      <c r="D177" s="425"/>
      <c r="E177" s="105" t="s">
        <v>15</v>
      </c>
      <c r="F177" s="107">
        <v>592.09</v>
      </c>
      <c r="G177" s="106">
        <v>641.1</v>
      </c>
      <c r="H177" s="106">
        <f>ROUND(G177*Lapas1!$B$2, 1)</f>
        <v>692.4</v>
      </c>
      <c r="I177" s="106">
        <f>ROUND(H177*Lapas1!$B$2, 1)</f>
        <v>747.8</v>
      </c>
      <c r="J177" s="108"/>
      <c r="K177" s="108"/>
      <c r="L177" s="109"/>
      <c r="M177" s="109"/>
      <c r="N177" s="110"/>
      <c r="O177" s="223"/>
      <c r="P177" s="223"/>
      <c r="Q177" s="223"/>
      <c r="R177" s="220"/>
    </row>
    <row r="178" spans="1:23" s="193" customFormat="1" x14ac:dyDescent="0.2">
      <c r="A178" s="424"/>
      <c r="B178" s="426"/>
      <c r="C178" s="425"/>
      <c r="D178" s="425"/>
      <c r="E178" s="105" t="s">
        <v>17</v>
      </c>
      <c r="F178" s="107">
        <v>104.4</v>
      </c>
      <c r="G178" s="106">
        <v>110</v>
      </c>
      <c r="H178" s="106">
        <f>ROUND(G178*Lapas1!$B$3, 1)</f>
        <v>118.8</v>
      </c>
      <c r="I178" s="106">
        <f>ROUND(H178*Lapas1!$B$3, 1)</f>
        <v>128.30000000000001</v>
      </c>
      <c r="J178" s="108"/>
      <c r="K178" s="108"/>
      <c r="L178" s="109"/>
      <c r="M178" s="109"/>
      <c r="N178" s="110"/>
      <c r="O178" s="223"/>
      <c r="P178" s="223"/>
      <c r="Q178" s="223"/>
      <c r="R178" s="220"/>
    </row>
    <row r="179" spans="1:23" s="193" customFormat="1" x14ac:dyDescent="0.2">
      <c r="A179" s="424"/>
      <c r="B179" s="426"/>
      <c r="C179" s="425"/>
      <c r="D179" s="425"/>
      <c r="E179" s="184" t="s">
        <v>22</v>
      </c>
      <c r="F179" s="112">
        <f>SUM(F176:F178)</f>
        <v>1298.3900000000001</v>
      </c>
      <c r="G179" s="174">
        <f t="shared" ref="G179" si="45">SUM(G176:G178)</f>
        <v>1437.4</v>
      </c>
      <c r="H179" s="112">
        <f t="shared" ref="H179" si="46">SUM(H176:H178)</f>
        <v>1552.3999999999999</v>
      </c>
      <c r="I179" s="112">
        <f t="shared" ref="I179" si="47">SUM(I176:I178)</f>
        <v>1676.6</v>
      </c>
      <c r="J179" s="108"/>
      <c r="K179" s="108"/>
      <c r="L179" s="109"/>
      <c r="M179" s="109"/>
      <c r="N179" s="110"/>
      <c r="O179" s="223"/>
      <c r="P179" s="223"/>
      <c r="Q179" s="223"/>
      <c r="R179" s="114">
        <f>(G179-F179)/F179</f>
        <v>0.1070633630881322</v>
      </c>
    </row>
    <row r="180" spans="1:23" s="193" customFormat="1" x14ac:dyDescent="0.2">
      <c r="A180" s="424" t="s">
        <v>0</v>
      </c>
      <c r="B180" s="426" t="s">
        <v>0</v>
      </c>
      <c r="C180" s="425" t="s">
        <v>884</v>
      </c>
      <c r="D180" s="425" t="s">
        <v>21</v>
      </c>
      <c r="E180" s="423" t="s">
        <v>49</v>
      </c>
      <c r="F180" s="423"/>
      <c r="G180" s="423"/>
      <c r="H180" s="423"/>
      <c r="I180" s="423"/>
      <c r="J180" s="430" t="s">
        <v>19</v>
      </c>
      <c r="K180" s="115" t="s">
        <v>241</v>
      </c>
      <c r="L180" s="104" t="s">
        <v>162</v>
      </c>
      <c r="M180" s="103" t="s">
        <v>11</v>
      </c>
      <c r="N180" s="221">
        <v>100</v>
      </c>
      <c r="O180" s="221">
        <v>100</v>
      </c>
      <c r="P180" s="221">
        <v>100</v>
      </c>
      <c r="Q180" s="224" t="s">
        <v>19</v>
      </c>
      <c r="R180" s="220"/>
      <c r="S180" s="439"/>
      <c r="T180" s="439"/>
      <c r="U180" s="439"/>
      <c r="V180" s="439"/>
      <c r="W180" s="439"/>
    </row>
    <row r="181" spans="1:23" s="193" customFormat="1" ht="25.5" x14ac:dyDescent="0.2">
      <c r="A181" s="424"/>
      <c r="B181" s="426"/>
      <c r="C181" s="425"/>
      <c r="D181" s="425"/>
      <c r="E181" s="423"/>
      <c r="F181" s="423"/>
      <c r="G181" s="423"/>
      <c r="H181" s="423"/>
      <c r="I181" s="423"/>
      <c r="J181" s="430"/>
      <c r="K181" s="115" t="s">
        <v>242</v>
      </c>
      <c r="L181" s="104" t="s">
        <v>167</v>
      </c>
      <c r="M181" s="103" t="s">
        <v>11</v>
      </c>
      <c r="N181" s="221">
        <v>100</v>
      </c>
      <c r="O181" s="221">
        <v>100</v>
      </c>
      <c r="P181" s="221">
        <v>100</v>
      </c>
      <c r="Q181" s="224" t="s">
        <v>19</v>
      </c>
      <c r="R181" s="220"/>
      <c r="S181" s="439"/>
      <c r="T181" s="439"/>
      <c r="U181" s="439"/>
      <c r="V181" s="148"/>
      <c r="W181" s="148"/>
    </row>
    <row r="182" spans="1:23" s="193" customFormat="1" ht="25.5" x14ac:dyDescent="0.2">
      <c r="A182" s="424"/>
      <c r="B182" s="426"/>
      <c r="C182" s="425"/>
      <c r="D182" s="425"/>
      <c r="E182" s="423"/>
      <c r="F182" s="423"/>
      <c r="G182" s="423"/>
      <c r="H182" s="423"/>
      <c r="I182" s="423"/>
      <c r="J182" s="430"/>
      <c r="K182" s="115" t="s">
        <v>243</v>
      </c>
      <c r="L182" s="104" t="s">
        <v>43</v>
      </c>
      <c r="M182" s="103" t="s">
        <v>35</v>
      </c>
      <c r="N182" s="221">
        <v>222</v>
      </c>
      <c r="O182" s="221">
        <v>260</v>
      </c>
      <c r="P182" s="221">
        <v>262</v>
      </c>
      <c r="Q182" s="224" t="s">
        <v>19</v>
      </c>
      <c r="R182" s="220"/>
    </row>
    <row r="183" spans="1:23" s="193" customFormat="1" ht="25.5" x14ac:dyDescent="0.2">
      <c r="A183" s="424"/>
      <c r="B183" s="426"/>
      <c r="C183" s="425"/>
      <c r="D183" s="425"/>
      <c r="E183" s="423"/>
      <c r="F183" s="423"/>
      <c r="G183" s="423"/>
      <c r="H183" s="423"/>
      <c r="I183" s="423"/>
      <c r="J183" s="430"/>
      <c r="K183" s="115" t="s">
        <v>244</v>
      </c>
      <c r="L183" s="104" t="s">
        <v>44</v>
      </c>
      <c r="M183" s="103" t="s">
        <v>35</v>
      </c>
      <c r="N183" s="221">
        <v>68</v>
      </c>
      <c r="O183" s="221">
        <v>55</v>
      </c>
      <c r="P183" s="221">
        <v>53</v>
      </c>
      <c r="Q183" s="224" t="s">
        <v>19</v>
      </c>
      <c r="R183" s="220"/>
    </row>
    <row r="184" spans="1:23" s="193" customFormat="1" x14ac:dyDescent="0.2">
      <c r="A184" s="424"/>
      <c r="B184" s="426"/>
      <c r="C184" s="425"/>
      <c r="D184" s="425"/>
      <c r="E184" s="105" t="s">
        <v>14</v>
      </c>
      <c r="F184" s="264">
        <v>1057.5</v>
      </c>
      <c r="G184" s="106">
        <v>1015.9</v>
      </c>
      <c r="H184" s="106">
        <f>ROUND(G184*Lapas1!$B$1, 1)</f>
        <v>1097.2</v>
      </c>
      <c r="I184" s="106">
        <f>ROUND(H184*Lapas1!$B$1, 1)</f>
        <v>1185</v>
      </c>
      <c r="J184" s="108"/>
      <c r="K184" s="108"/>
      <c r="L184" s="109"/>
      <c r="M184" s="109"/>
      <c r="N184" s="110"/>
      <c r="O184" s="223"/>
      <c r="P184" s="223"/>
      <c r="Q184" s="223"/>
      <c r="R184" s="220"/>
    </row>
    <row r="185" spans="1:23" s="193" customFormat="1" x14ac:dyDescent="0.2">
      <c r="A185" s="424"/>
      <c r="B185" s="426"/>
      <c r="C185" s="425"/>
      <c r="D185" s="425"/>
      <c r="E185" s="105" t="s">
        <v>15</v>
      </c>
      <c r="F185" s="107">
        <v>756.53899999999999</v>
      </c>
      <c r="G185" s="106">
        <v>924.5</v>
      </c>
      <c r="H185" s="106">
        <f>ROUND(G185*Lapas1!$B$2, 1)</f>
        <v>998.5</v>
      </c>
      <c r="I185" s="106">
        <f>ROUND(H185*Lapas1!$B$2, 1)</f>
        <v>1078.4000000000001</v>
      </c>
      <c r="J185" s="108"/>
      <c r="K185" s="108"/>
      <c r="L185" s="109"/>
      <c r="M185" s="109"/>
      <c r="N185" s="110"/>
      <c r="O185" s="223"/>
      <c r="P185" s="223"/>
      <c r="Q185" s="223"/>
      <c r="R185" s="220"/>
    </row>
    <row r="186" spans="1:23" s="193" customFormat="1" x14ac:dyDescent="0.2">
      <c r="A186" s="424"/>
      <c r="B186" s="426"/>
      <c r="C186" s="425"/>
      <c r="D186" s="425"/>
      <c r="E186" s="105" t="s">
        <v>17</v>
      </c>
      <c r="F186" s="107">
        <v>151.19999999999999</v>
      </c>
      <c r="G186" s="106">
        <v>155.6</v>
      </c>
      <c r="H186" s="106">
        <f>ROUND(G186*Lapas1!$B$3, 1)</f>
        <v>168</v>
      </c>
      <c r="I186" s="106">
        <f>ROUND(H186*Lapas1!$B$3, 1)</f>
        <v>181.4</v>
      </c>
      <c r="J186" s="108"/>
      <c r="K186" s="108"/>
      <c r="L186" s="109"/>
      <c r="M186" s="109"/>
      <c r="N186" s="110"/>
      <c r="O186" s="223"/>
      <c r="P186" s="223"/>
      <c r="Q186" s="223"/>
      <c r="R186" s="220"/>
    </row>
    <row r="187" spans="1:23" s="193" customFormat="1" x14ac:dyDescent="0.2">
      <c r="A187" s="424"/>
      <c r="B187" s="426"/>
      <c r="C187" s="425"/>
      <c r="D187" s="425"/>
      <c r="E187" s="117" t="s">
        <v>22</v>
      </c>
      <c r="F187" s="112">
        <f>SUM(F184:F186)</f>
        <v>1965.239</v>
      </c>
      <c r="G187" s="174">
        <f t="shared" ref="G187" si="48">SUM(G184:G186)</f>
        <v>2096</v>
      </c>
      <c r="H187" s="112">
        <f t="shared" ref="H187" si="49">SUM(H184:H186)</f>
        <v>2263.6999999999998</v>
      </c>
      <c r="I187" s="112">
        <f t="shared" ref="I187" si="50">SUM(I184:I186)</f>
        <v>2444.8000000000002</v>
      </c>
      <c r="J187" s="108"/>
      <c r="K187" s="108"/>
      <c r="L187" s="109"/>
      <c r="M187" s="109"/>
      <c r="N187" s="110"/>
      <c r="O187" s="223"/>
      <c r="P187" s="223"/>
      <c r="Q187" s="223"/>
      <c r="R187" s="114">
        <f>(G187-F187)/F187</f>
        <v>6.6536945379162521E-2</v>
      </c>
    </row>
    <row r="188" spans="1:23" s="193" customFormat="1" x14ac:dyDescent="0.2">
      <c r="A188" s="144" t="s">
        <v>0</v>
      </c>
      <c r="B188" s="154" t="s">
        <v>0</v>
      </c>
      <c r="C188" s="118"/>
      <c r="D188" s="118" t="s">
        <v>31</v>
      </c>
      <c r="E188" s="119" t="s">
        <v>275</v>
      </c>
      <c r="F188" s="120">
        <f>F30+F40+F50+F60+F70+F80+F90+F105+F120+F130+F139+F147+F155+F163+F171+F179+F187+F110+F95</f>
        <v>30431.333999999999</v>
      </c>
      <c r="G188" s="186">
        <f>G30+G40+G50+G60+G70+G80+G90+G105+G120+G130+G139+G147+G155+G163+G171+G179+G187+G110+G95</f>
        <v>33399.830999999998</v>
      </c>
      <c r="H188" s="120">
        <f>H30+H40+H50+H60+H70+H80+H90+H105+H120+H130+H139+H147+H155+H163+H171+H179+H187+H110+H95</f>
        <v>36071.799999999996</v>
      </c>
      <c r="I188" s="120">
        <f>I30+I40+I50+I60+I70+I80+I90+I105+I120+I130+I139+I147+I155+I163+I171+I179+I187+I110+I95</f>
        <v>38957.399999999994</v>
      </c>
      <c r="J188" s="121"/>
      <c r="K188" s="227"/>
      <c r="L188" s="227"/>
      <c r="M188" s="227"/>
      <c r="N188" s="228"/>
      <c r="O188" s="228"/>
      <c r="P188" s="228"/>
      <c r="Q188" s="228"/>
      <c r="R188" s="220"/>
    </row>
    <row r="189" spans="1:23" s="193" customFormat="1" ht="15" x14ac:dyDescent="0.2">
      <c r="A189" s="255" t="s">
        <v>0</v>
      </c>
      <c r="B189" s="257" t="s">
        <v>10</v>
      </c>
      <c r="C189" s="118"/>
      <c r="D189" s="118" t="s">
        <v>18</v>
      </c>
      <c r="E189" s="431" t="s">
        <v>892</v>
      </c>
      <c r="F189" s="432"/>
      <c r="G189" s="432"/>
      <c r="H189" s="432"/>
      <c r="I189" s="433"/>
      <c r="J189" s="258"/>
      <c r="K189" s="259"/>
      <c r="L189" s="259"/>
      <c r="M189" s="260"/>
      <c r="N189" s="228"/>
      <c r="O189" s="228"/>
      <c r="P189" s="228"/>
      <c r="Q189" s="268"/>
      <c r="R189" s="220"/>
    </row>
    <row r="190" spans="1:23" s="193" customFormat="1" ht="15" x14ac:dyDescent="0.2">
      <c r="A190" s="424" t="s">
        <v>0</v>
      </c>
      <c r="B190" s="426" t="s">
        <v>10</v>
      </c>
      <c r="C190" s="425" t="s">
        <v>0</v>
      </c>
      <c r="D190" s="425" t="s">
        <v>78</v>
      </c>
      <c r="E190" s="423" t="s">
        <v>893</v>
      </c>
      <c r="F190" s="423"/>
      <c r="G190" s="423"/>
      <c r="H190" s="423"/>
      <c r="I190" s="423"/>
      <c r="J190" s="261" t="s">
        <v>19</v>
      </c>
      <c r="K190" s="407" t="s">
        <v>19</v>
      </c>
      <c r="L190" s="261" t="s">
        <v>19</v>
      </c>
      <c r="M190" s="408" t="s">
        <v>19</v>
      </c>
      <c r="N190" s="409" t="s">
        <v>19</v>
      </c>
      <c r="O190" s="409" t="s">
        <v>19</v>
      </c>
      <c r="P190" s="409" t="s">
        <v>19</v>
      </c>
      <c r="Q190" s="410" t="s">
        <v>19</v>
      </c>
      <c r="R190" s="220"/>
    </row>
    <row r="191" spans="1:23" s="193" customFormat="1" x14ac:dyDescent="0.2">
      <c r="A191" s="424"/>
      <c r="B191" s="426"/>
      <c r="C191" s="425"/>
      <c r="D191" s="425"/>
      <c r="E191" s="105" t="s">
        <v>15</v>
      </c>
      <c r="F191" s="107">
        <v>5.944</v>
      </c>
      <c r="G191" s="106">
        <v>4.0999999999999996</v>
      </c>
      <c r="H191" s="106"/>
      <c r="I191" s="106"/>
      <c r="J191" s="108"/>
      <c r="K191" s="108"/>
      <c r="L191" s="109"/>
      <c r="M191" s="109"/>
      <c r="N191" s="110"/>
      <c r="O191" s="223"/>
      <c r="P191" s="223"/>
      <c r="Q191" s="223"/>
      <c r="R191" s="220"/>
    </row>
    <row r="192" spans="1:23" s="193" customFormat="1" x14ac:dyDescent="0.2">
      <c r="A192" s="424"/>
      <c r="B192" s="426"/>
      <c r="C192" s="425"/>
      <c r="D192" s="425"/>
      <c r="E192" s="105" t="s">
        <v>170</v>
      </c>
      <c r="F192" s="107">
        <v>51.470999999999997</v>
      </c>
      <c r="G192" s="106"/>
      <c r="H192" s="106"/>
      <c r="I192" s="106"/>
      <c r="J192" s="108"/>
      <c r="K192" s="108"/>
      <c r="L192" s="109"/>
      <c r="M192" s="109"/>
      <c r="N192" s="110"/>
      <c r="O192" s="223"/>
      <c r="P192" s="223"/>
      <c r="Q192" s="223"/>
      <c r="R192" s="220"/>
    </row>
    <row r="193" spans="1:23" s="193" customFormat="1" x14ac:dyDescent="0.2">
      <c r="A193" s="424"/>
      <c r="B193" s="426"/>
      <c r="C193" s="425"/>
      <c r="D193" s="425"/>
      <c r="E193" s="117" t="s">
        <v>22</v>
      </c>
      <c r="F193" s="112">
        <f>SUM(F191:F192)</f>
        <v>57.414999999999999</v>
      </c>
      <c r="G193" s="174">
        <f>SUM(G191:G192)</f>
        <v>4.0999999999999996</v>
      </c>
      <c r="H193" s="112">
        <f>SUM(H191:H192)</f>
        <v>0</v>
      </c>
      <c r="I193" s="112">
        <f>SUM(I191:I192)</f>
        <v>0</v>
      </c>
      <c r="J193" s="108"/>
      <c r="K193" s="108"/>
      <c r="L193" s="109"/>
      <c r="M193" s="109"/>
      <c r="N193" s="110"/>
      <c r="O193" s="223"/>
      <c r="P193" s="223"/>
      <c r="Q193" s="223"/>
      <c r="R193" s="114">
        <f>(G193-F193)/F193</f>
        <v>-0.92859008969781409</v>
      </c>
    </row>
    <row r="194" spans="1:23" s="193" customFormat="1" x14ac:dyDescent="0.2">
      <c r="A194" s="255" t="s">
        <v>0</v>
      </c>
      <c r="B194" s="256" t="s">
        <v>10</v>
      </c>
      <c r="C194" s="256"/>
      <c r="D194" s="256" t="s">
        <v>18</v>
      </c>
      <c r="E194" s="119" t="s">
        <v>275</v>
      </c>
      <c r="F194" s="306">
        <f>F193</f>
        <v>57.414999999999999</v>
      </c>
      <c r="G194" s="186">
        <f t="shared" ref="G194:I194" si="51">G193</f>
        <v>4.0999999999999996</v>
      </c>
      <c r="H194" s="306">
        <f t="shared" si="51"/>
        <v>0</v>
      </c>
      <c r="I194" s="306">
        <f t="shared" si="51"/>
        <v>0</v>
      </c>
      <c r="J194" s="256"/>
      <c r="K194" s="256"/>
      <c r="L194" s="256"/>
      <c r="M194" s="256"/>
      <c r="N194" s="256"/>
      <c r="O194" s="256"/>
      <c r="P194" s="256"/>
      <c r="Q194" s="256"/>
      <c r="R194" s="220"/>
    </row>
    <row r="195" spans="1:23" s="193" customFormat="1" x14ac:dyDescent="0.2">
      <c r="A195" s="229" t="s">
        <v>0</v>
      </c>
      <c r="B195" s="122"/>
      <c r="C195" s="122"/>
      <c r="D195" s="122"/>
      <c r="E195" s="123" t="s">
        <v>276</v>
      </c>
      <c r="F195" s="124">
        <f>F188+F194</f>
        <v>30488.749</v>
      </c>
      <c r="G195" s="187">
        <f>G188+G194</f>
        <v>33403.930999999997</v>
      </c>
      <c r="H195" s="124">
        <f>H188+H194</f>
        <v>36071.799999999996</v>
      </c>
      <c r="I195" s="124">
        <f>I188+I194</f>
        <v>38957.399999999994</v>
      </c>
      <c r="J195" s="125"/>
      <c r="K195" s="230"/>
      <c r="L195" s="230"/>
      <c r="M195" s="230"/>
      <c r="N195" s="231"/>
      <c r="O195" s="231"/>
      <c r="P195" s="231"/>
      <c r="Q195" s="231"/>
      <c r="R195" s="220"/>
    </row>
    <row r="196" spans="1:23" s="193" customFormat="1" x14ac:dyDescent="0.2">
      <c r="A196" s="144" t="s">
        <v>10</v>
      </c>
      <c r="B196" s="101"/>
      <c r="C196" s="101"/>
      <c r="D196" s="101"/>
      <c r="E196" s="434" t="s">
        <v>1005</v>
      </c>
      <c r="F196" s="434"/>
      <c r="G196" s="434"/>
      <c r="H196" s="434"/>
      <c r="I196" s="434"/>
      <c r="J196" s="434"/>
      <c r="K196" s="434"/>
      <c r="L196" s="434"/>
      <c r="M196" s="434"/>
      <c r="N196" s="434"/>
      <c r="O196" s="434"/>
      <c r="P196" s="434"/>
      <c r="Q196" s="434"/>
      <c r="R196" s="220"/>
    </row>
    <row r="197" spans="1:23" s="193" customFormat="1" ht="25.5" x14ac:dyDescent="0.2">
      <c r="A197" s="144" t="s">
        <v>10</v>
      </c>
      <c r="B197" s="154" t="s">
        <v>0</v>
      </c>
      <c r="C197" s="146"/>
      <c r="D197" s="146" t="s">
        <v>31</v>
      </c>
      <c r="E197" s="435" t="s">
        <v>1006</v>
      </c>
      <c r="F197" s="435"/>
      <c r="G197" s="435"/>
      <c r="H197" s="435"/>
      <c r="I197" s="435"/>
      <c r="J197" s="146" t="s">
        <v>245</v>
      </c>
      <c r="K197" s="102" t="s">
        <v>140</v>
      </c>
      <c r="L197" s="102" t="s">
        <v>36</v>
      </c>
      <c r="M197" s="102" t="s">
        <v>11</v>
      </c>
      <c r="N197" s="302">
        <v>6.3</v>
      </c>
      <c r="O197" s="302">
        <v>6.3</v>
      </c>
      <c r="P197" s="302">
        <v>6.3</v>
      </c>
      <c r="Q197" s="143" t="s">
        <v>279</v>
      </c>
      <c r="R197" s="220"/>
    </row>
    <row r="198" spans="1:23" s="193" customFormat="1" ht="25.5" x14ac:dyDescent="0.2">
      <c r="A198" s="424" t="s">
        <v>10</v>
      </c>
      <c r="B198" s="426" t="s">
        <v>0</v>
      </c>
      <c r="C198" s="430" t="s">
        <v>0</v>
      </c>
      <c r="D198" s="430" t="s">
        <v>21</v>
      </c>
      <c r="E198" s="423" t="s">
        <v>263</v>
      </c>
      <c r="F198" s="423"/>
      <c r="G198" s="423"/>
      <c r="H198" s="423"/>
      <c r="I198" s="423"/>
      <c r="J198" s="430" t="s">
        <v>19</v>
      </c>
      <c r="K198" s="103" t="s">
        <v>137</v>
      </c>
      <c r="L198" s="103" t="s">
        <v>132</v>
      </c>
      <c r="M198" s="103" t="s">
        <v>35</v>
      </c>
      <c r="N198" s="221">
        <v>240</v>
      </c>
      <c r="O198" s="221">
        <v>240</v>
      </c>
      <c r="P198" s="221">
        <v>240</v>
      </c>
      <c r="Q198" s="224" t="s">
        <v>19</v>
      </c>
      <c r="R198" s="220"/>
    </row>
    <row r="199" spans="1:23" s="193" customFormat="1" ht="25.5" x14ac:dyDescent="0.2">
      <c r="A199" s="424"/>
      <c r="B199" s="426"/>
      <c r="C199" s="430"/>
      <c r="D199" s="430"/>
      <c r="E199" s="423"/>
      <c r="F199" s="423"/>
      <c r="G199" s="423"/>
      <c r="H199" s="423"/>
      <c r="I199" s="423"/>
      <c r="J199" s="430"/>
      <c r="K199" s="103" t="s">
        <v>138</v>
      </c>
      <c r="L199" s="103" t="s">
        <v>82</v>
      </c>
      <c r="M199" s="103" t="s">
        <v>35</v>
      </c>
      <c r="N199" s="221">
        <v>300</v>
      </c>
      <c r="O199" s="221">
        <v>300</v>
      </c>
      <c r="P199" s="221">
        <v>300</v>
      </c>
      <c r="Q199" s="224" t="s">
        <v>19</v>
      </c>
      <c r="R199" s="220"/>
    </row>
    <row r="200" spans="1:23" s="193" customFormat="1" ht="51" x14ac:dyDescent="0.2">
      <c r="A200" s="424"/>
      <c r="B200" s="426"/>
      <c r="C200" s="430"/>
      <c r="D200" s="430"/>
      <c r="E200" s="423"/>
      <c r="F200" s="423"/>
      <c r="G200" s="423"/>
      <c r="H200" s="423"/>
      <c r="I200" s="423"/>
      <c r="J200" s="430"/>
      <c r="K200" s="103" t="s">
        <v>139</v>
      </c>
      <c r="L200" s="104" t="s">
        <v>175</v>
      </c>
      <c r="M200" s="103" t="s">
        <v>35</v>
      </c>
      <c r="N200" s="221">
        <v>3500</v>
      </c>
      <c r="O200" s="221">
        <v>3550</v>
      </c>
      <c r="P200" s="221">
        <v>3550</v>
      </c>
      <c r="Q200" s="224" t="s">
        <v>19</v>
      </c>
      <c r="R200" s="220"/>
    </row>
    <row r="201" spans="1:23" s="193" customFormat="1" x14ac:dyDescent="0.2">
      <c r="A201" s="424"/>
      <c r="B201" s="426"/>
      <c r="C201" s="430"/>
      <c r="D201" s="430"/>
      <c r="E201" s="105" t="s">
        <v>15</v>
      </c>
      <c r="F201" s="107">
        <v>202.2</v>
      </c>
      <c r="G201" s="106">
        <v>205.4</v>
      </c>
      <c r="H201" s="106">
        <f>ROUND(G201*Lapas1!$B$2, 1)</f>
        <v>221.8</v>
      </c>
      <c r="I201" s="106">
        <f>ROUND(H201*Lapas1!$B$2, 1)</f>
        <v>239.5</v>
      </c>
      <c r="J201" s="109"/>
      <c r="K201" s="109"/>
      <c r="L201" s="126"/>
      <c r="M201" s="109"/>
      <c r="N201" s="110"/>
      <c r="O201" s="223"/>
      <c r="P201" s="223"/>
      <c r="Q201" s="223"/>
      <c r="R201" s="220"/>
    </row>
    <row r="202" spans="1:23" s="193" customFormat="1" x14ac:dyDescent="0.2">
      <c r="A202" s="424"/>
      <c r="B202" s="426"/>
      <c r="C202" s="430"/>
      <c r="D202" s="430"/>
      <c r="E202" s="184" t="s">
        <v>22</v>
      </c>
      <c r="F202" s="112">
        <f>SUM(F201:F201)</f>
        <v>202.2</v>
      </c>
      <c r="G202" s="174">
        <f>SUM(G201:G201)</f>
        <v>205.4</v>
      </c>
      <c r="H202" s="112">
        <f>SUM(H201:H201)</f>
        <v>221.8</v>
      </c>
      <c r="I202" s="112">
        <f>SUM(I201:I201)</f>
        <v>239.5</v>
      </c>
      <c r="J202" s="108"/>
      <c r="K202" s="108"/>
      <c r="L202" s="127"/>
      <c r="M202" s="109"/>
      <c r="N202" s="110"/>
      <c r="O202" s="223"/>
      <c r="P202" s="223"/>
      <c r="Q202" s="223"/>
      <c r="R202" s="114">
        <f>(G202-F202)/F202</f>
        <v>1.5825914935707307E-2</v>
      </c>
    </row>
    <row r="203" spans="1:23" s="193" customFormat="1" x14ac:dyDescent="0.2">
      <c r="A203" s="144" t="s">
        <v>10</v>
      </c>
      <c r="B203" s="154" t="s">
        <v>0</v>
      </c>
      <c r="C203" s="118"/>
      <c r="D203" s="118" t="s">
        <v>31</v>
      </c>
      <c r="E203" s="128" t="s">
        <v>275</v>
      </c>
      <c r="F203" s="120">
        <f>F202</f>
        <v>202.2</v>
      </c>
      <c r="G203" s="186">
        <f t="shared" ref="G203:I203" si="52">G202</f>
        <v>205.4</v>
      </c>
      <c r="H203" s="120">
        <f t="shared" si="52"/>
        <v>221.8</v>
      </c>
      <c r="I203" s="120">
        <f t="shared" si="52"/>
        <v>239.5</v>
      </c>
      <c r="J203" s="121"/>
      <c r="K203" s="227"/>
      <c r="L203" s="227"/>
      <c r="M203" s="227"/>
      <c r="N203" s="228"/>
      <c r="O203" s="228"/>
      <c r="P203" s="228"/>
      <c r="Q203" s="228"/>
      <c r="R203" s="220"/>
    </row>
    <row r="204" spans="1:23" s="193" customFormat="1" ht="25.5" x14ac:dyDescent="0.2">
      <c r="A204" s="424" t="s">
        <v>10</v>
      </c>
      <c r="B204" s="443" t="s">
        <v>10</v>
      </c>
      <c r="C204" s="429"/>
      <c r="D204" s="429" t="s">
        <v>31</v>
      </c>
      <c r="E204" s="435" t="s">
        <v>1007</v>
      </c>
      <c r="F204" s="435"/>
      <c r="G204" s="435"/>
      <c r="H204" s="435"/>
      <c r="I204" s="435"/>
      <c r="J204" s="429" t="s">
        <v>246</v>
      </c>
      <c r="K204" s="102" t="s">
        <v>134</v>
      </c>
      <c r="L204" s="102" t="s">
        <v>1020</v>
      </c>
      <c r="M204" s="102" t="s">
        <v>12</v>
      </c>
      <c r="N204" s="302">
        <v>68</v>
      </c>
      <c r="O204" s="302">
        <v>70</v>
      </c>
      <c r="P204" s="302">
        <v>72</v>
      </c>
      <c r="Q204" s="436" t="s">
        <v>280</v>
      </c>
      <c r="R204" s="220"/>
    </row>
    <row r="205" spans="1:23" s="193" customFormat="1" ht="25.5" x14ac:dyDescent="0.2">
      <c r="A205" s="424"/>
      <c r="B205" s="443"/>
      <c r="C205" s="429"/>
      <c r="D205" s="429"/>
      <c r="E205" s="435"/>
      <c r="F205" s="435"/>
      <c r="G205" s="435"/>
      <c r="H205" s="435"/>
      <c r="I205" s="435"/>
      <c r="J205" s="429"/>
      <c r="K205" s="102" t="s">
        <v>135</v>
      </c>
      <c r="L205" s="102" t="s">
        <v>169</v>
      </c>
      <c r="M205" s="102" t="s">
        <v>11</v>
      </c>
      <c r="N205" s="302">
        <v>93</v>
      </c>
      <c r="O205" s="302">
        <v>93</v>
      </c>
      <c r="P205" s="302">
        <v>93</v>
      </c>
      <c r="Q205" s="436"/>
      <c r="R205" s="220"/>
    </row>
    <row r="206" spans="1:23" s="193" customFormat="1" ht="13.5" x14ac:dyDescent="0.2">
      <c r="A206" s="424" t="s">
        <v>10</v>
      </c>
      <c r="B206" s="426" t="s">
        <v>10</v>
      </c>
      <c r="C206" s="425" t="s">
        <v>0</v>
      </c>
      <c r="D206" s="425" t="s">
        <v>21</v>
      </c>
      <c r="E206" s="423" t="s">
        <v>51</v>
      </c>
      <c r="F206" s="423"/>
      <c r="G206" s="423"/>
      <c r="H206" s="423"/>
      <c r="I206" s="423"/>
      <c r="J206" s="151" t="s">
        <v>19</v>
      </c>
      <c r="K206" s="103" t="s">
        <v>136</v>
      </c>
      <c r="L206" s="104" t="s">
        <v>86</v>
      </c>
      <c r="M206" s="103" t="s">
        <v>11</v>
      </c>
      <c r="N206" s="221">
        <v>100</v>
      </c>
      <c r="O206" s="221">
        <v>100</v>
      </c>
      <c r="P206" s="221">
        <v>100</v>
      </c>
      <c r="Q206" s="224" t="s">
        <v>19</v>
      </c>
      <c r="R206" s="220"/>
      <c r="S206" s="2"/>
      <c r="T206" s="2"/>
      <c r="U206" s="2"/>
      <c r="V206" s="2"/>
      <c r="W206" s="2"/>
    </row>
    <row r="207" spans="1:23" s="193" customFormat="1" x14ac:dyDescent="0.2">
      <c r="A207" s="424"/>
      <c r="B207" s="426"/>
      <c r="C207" s="425"/>
      <c r="D207" s="425"/>
      <c r="E207" s="105" t="s">
        <v>14</v>
      </c>
      <c r="F207" s="107">
        <v>44.5</v>
      </c>
      <c r="G207" s="106">
        <v>35</v>
      </c>
      <c r="H207" s="106">
        <f>ROUND(G207*Lapas1!$B$1, 1)</f>
        <v>37.799999999999997</v>
      </c>
      <c r="I207" s="106">
        <f>ROUND(H207*Lapas1!$B$1, 1)</f>
        <v>40.799999999999997</v>
      </c>
      <c r="J207" s="108"/>
      <c r="K207" s="108"/>
      <c r="L207" s="109"/>
      <c r="M207" s="109"/>
      <c r="N207" s="110"/>
      <c r="O207" s="223"/>
      <c r="P207" s="223"/>
      <c r="Q207" s="223"/>
      <c r="R207" s="220"/>
    </row>
    <row r="208" spans="1:23" s="193" customFormat="1" x14ac:dyDescent="0.2">
      <c r="A208" s="424"/>
      <c r="B208" s="426"/>
      <c r="C208" s="425"/>
      <c r="D208" s="425"/>
      <c r="E208" s="184" t="s">
        <v>22</v>
      </c>
      <c r="F208" s="112">
        <f t="shared" ref="F208:I208" si="53">SUM(F207:F207)</f>
        <v>44.5</v>
      </c>
      <c r="G208" s="174">
        <f t="shared" si="53"/>
        <v>35</v>
      </c>
      <c r="H208" s="112">
        <f t="shared" si="53"/>
        <v>37.799999999999997</v>
      </c>
      <c r="I208" s="112">
        <f t="shared" si="53"/>
        <v>40.799999999999997</v>
      </c>
      <c r="J208" s="108"/>
      <c r="K208" s="108"/>
      <c r="L208" s="109"/>
      <c r="M208" s="109"/>
      <c r="N208" s="110"/>
      <c r="O208" s="223"/>
      <c r="P208" s="223"/>
      <c r="Q208" s="223"/>
      <c r="R208" s="114">
        <f>(G208-F208)/F208</f>
        <v>-0.21348314606741572</v>
      </c>
    </row>
    <row r="209" spans="1:23" s="193" customFormat="1" ht="25.5" x14ac:dyDescent="0.2">
      <c r="A209" s="424" t="s">
        <v>10</v>
      </c>
      <c r="B209" s="426" t="s">
        <v>10</v>
      </c>
      <c r="C209" s="425" t="s">
        <v>10</v>
      </c>
      <c r="D209" s="425" t="s">
        <v>21</v>
      </c>
      <c r="E209" s="423" t="s">
        <v>52</v>
      </c>
      <c r="F209" s="423"/>
      <c r="G209" s="423"/>
      <c r="H209" s="423"/>
      <c r="I209" s="423"/>
      <c r="J209" s="430" t="s">
        <v>19</v>
      </c>
      <c r="K209" s="103" t="s">
        <v>141</v>
      </c>
      <c r="L209" s="104" t="s">
        <v>53</v>
      </c>
      <c r="M209" s="103" t="s">
        <v>35</v>
      </c>
      <c r="N209" s="221">
        <v>150</v>
      </c>
      <c r="O209" s="221">
        <v>150</v>
      </c>
      <c r="P209" s="221">
        <v>150</v>
      </c>
      <c r="Q209" s="224" t="s">
        <v>19</v>
      </c>
      <c r="R209" s="220"/>
      <c r="S209" s="439"/>
      <c r="T209" s="439"/>
      <c r="U209" s="439"/>
      <c r="V209" s="439"/>
      <c r="W209" s="439"/>
    </row>
    <row r="210" spans="1:23" s="193" customFormat="1" x14ac:dyDescent="0.2">
      <c r="A210" s="424"/>
      <c r="B210" s="426"/>
      <c r="C210" s="425"/>
      <c r="D210" s="425"/>
      <c r="E210" s="423"/>
      <c r="F210" s="423"/>
      <c r="G210" s="423"/>
      <c r="H210" s="423"/>
      <c r="I210" s="423"/>
      <c r="J210" s="430"/>
      <c r="K210" s="103" t="s">
        <v>142</v>
      </c>
      <c r="L210" s="104" t="s">
        <v>168</v>
      </c>
      <c r="M210" s="103" t="s">
        <v>11</v>
      </c>
      <c r="N210" s="221">
        <v>100</v>
      </c>
      <c r="O210" s="221">
        <v>100</v>
      </c>
      <c r="P210" s="221">
        <v>100</v>
      </c>
      <c r="Q210" s="224" t="s">
        <v>19</v>
      </c>
      <c r="R210" s="220"/>
      <c r="S210" s="148"/>
      <c r="T210" s="148"/>
      <c r="U210" s="148"/>
      <c r="V210" s="148"/>
      <c r="W210" s="148"/>
    </row>
    <row r="211" spans="1:23" s="193" customFormat="1" x14ac:dyDescent="0.2">
      <c r="A211" s="424"/>
      <c r="B211" s="426"/>
      <c r="C211" s="425"/>
      <c r="D211" s="425"/>
      <c r="E211" s="105" t="s">
        <v>14</v>
      </c>
      <c r="F211" s="107">
        <v>60.8</v>
      </c>
      <c r="G211" s="106">
        <v>50</v>
      </c>
      <c r="H211" s="106">
        <f>ROUND(G211*Lapas1!$B$1, 1)</f>
        <v>54</v>
      </c>
      <c r="I211" s="106">
        <f>ROUND(H211*Lapas1!$B$1, 1)</f>
        <v>58.3</v>
      </c>
      <c r="J211" s="108"/>
      <c r="K211" s="108"/>
      <c r="L211" s="127"/>
      <c r="M211" s="109"/>
      <c r="N211" s="110"/>
      <c r="O211" s="223"/>
      <c r="P211" s="223"/>
      <c r="Q211" s="223"/>
      <c r="R211" s="220"/>
    </row>
    <row r="212" spans="1:23" s="193" customFormat="1" x14ac:dyDescent="0.2">
      <c r="A212" s="424"/>
      <c r="B212" s="426"/>
      <c r="C212" s="425"/>
      <c r="D212" s="425"/>
      <c r="E212" s="105" t="s">
        <v>15</v>
      </c>
      <c r="F212" s="107">
        <v>0</v>
      </c>
      <c r="G212" s="106">
        <v>376.5</v>
      </c>
      <c r="H212" s="106">
        <f>ROUND(G212*Lapas1!$B$2, 1)</f>
        <v>406.6</v>
      </c>
      <c r="I212" s="106">
        <f>ROUND(H212*Lapas1!$B$2, 1)</f>
        <v>439.1</v>
      </c>
      <c r="J212" s="108"/>
      <c r="K212" s="108"/>
      <c r="L212" s="127"/>
      <c r="M212" s="109"/>
      <c r="N212" s="110"/>
      <c r="O212" s="223"/>
      <c r="P212" s="223"/>
      <c r="Q212" s="223"/>
      <c r="R212" s="220"/>
    </row>
    <row r="213" spans="1:23" s="193" customFormat="1" x14ac:dyDescent="0.2">
      <c r="A213" s="424"/>
      <c r="B213" s="426"/>
      <c r="C213" s="425"/>
      <c r="D213" s="425"/>
      <c r="E213" s="184" t="s">
        <v>22</v>
      </c>
      <c r="F213" s="112">
        <f>SUM(F211:F212)</f>
        <v>60.8</v>
      </c>
      <c r="G213" s="174">
        <f>SUM(G211:G212)</f>
        <v>426.5</v>
      </c>
      <c r="H213" s="112">
        <f>SUM(H211:H212)</f>
        <v>460.6</v>
      </c>
      <c r="I213" s="112">
        <f>SUM(I211:I212)</f>
        <v>497.40000000000003</v>
      </c>
      <c r="J213" s="108"/>
      <c r="K213" s="108"/>
      <c r="L213" s="127"/>
      <c r="M213" s="109"/>
      <c r="N213" s="110"/>
      <c r="O213" s="223"/>
      <c r="P213" s="223"/>
      <c r="Q213" s="223"/>
      <c r="R213" s="114">
        <f>(G213-F213)/F213</f>
        <v>6.0148026315789478</v>
      </c>
    </row>
    <row r="214" spans="1:23" s="193" customFormat="1" x14ac:dyDescent="0.2">
      <c r="A214" s="424" t="s">
        <v>10</v>
      </c>
      <c r="B214" s="426" t="s">
        <v>10</v>
      </c>
      <c r="C214" s="425" t="s">
        <v>24</v>
      </c>
      <c r="D214" s="425" t="s">
        <v>21</v>
      </c>
      <c r="E214" s="423" t="s">
        <v>54</v>
      </c>
      <c r="F214" s="423"/>
      <c r="G214" s="423"/>
      <c r="H214" s="423"/>
      <c r="I214" s="423"/>
      <c r="J214" s="430" t="s">
        <v>19</v>
      </c>
      <c r="K214" s="103" t="s">
        <v>143</v>
      </c>
      <c r="L214" s="104" t="s">
        <v>55</v>
      </c>
      <c r="M214" s="103" t="s">
        <v>35</v>
      </c>
      <c r="N214" s="221">
        <v>1200</v>
      </c>
      <c r="O214" s="221">
        <v>1250</v>
      </c>
      <c r="P214" s="221">
        <v>1300</v>
      </c>
      <c r="Q214" s="224" t="s">
        <v>19</v>
      </c>
      <c r="R214" s="220"/>
      <c r="S214" s="440"/>
      <c r="T214" s="440"/>
      <c r="U214" s="440"/>
      <c r="V214" s="440"/>
      <c r="W214" s="440"/>
    </row>
    <row r="215" spans="1:23" s="193" customFormat="1" x14ac:dyDescent="0.2">
      <c r="A215" s="424"/>
      <c r="B215" s="426"/>
      <c r="C215" s="425"/>
      <c r="D215" s="425"/>
      <c r="E215" s="423"/>
      <c r="F215" s="423"/>
      <c r="G215" s="423"/>
      <c r="H215" s="423"/>
      <c r="I215" s="423"/>
      <c r="J215" s="430"/>
      <c r="K215" s="103" t="s">
        <v>144</v>
      </c>
      <c r="L215" s="104" t="s">
        <v>56</v>
      </c>
      <c r="M215" s="103" t="s">
        <v>12</v>
      </c>
      <c r="N215" s="221">
        <v>18</v>
      </c>
      <c r="O215" s="221">
        <v>19</v>
      </c>
      <c r="P215" s="221">
        <v>20</v>
      </c>
      <c r="Q215" s="224" t="s">
        <v>19</v>
      </c>
      <c r="R215" s="220"/>
      <c r="S215" s="148"/>
      <c r="T215" s="148"/>
      <c r="U215" s="148"/>
      <c r="V215" s="148"/>
      <c r="W215" s="148"/>
    </row>
    <row r="216" spans="1:23" s="193" customFormat="1" x14ac:dyDescent="0.2">
      <c r="A216" s="424"/>
      <c r="B216" s="426"/>
      <c r="C216" s="425"/>
      <c r="D216" s="425"/>
      <c r="E216" s="105" t="s">
        <v>15</v>
      </c>
      <c r="F216" s="107">
        <v>223.3</v>
      </c>
      <c r="G216" s="106">
        <v>283.60000000000002</v>
      </c>
      <c r="H216" s="106">
        <f>ROUND(G216*Lapas1!$B$2, 1)</f>
        <v>306.3</v>
      </c>
      <c r="I216" s="106">
        <f>ROUND(H216*Lapas1!$B$2, 1)</f>
        <v>330.8</v>
      </c>
      <c r="J216" s="108"/>
      <c r="K216" s="108"/>
      <c r="L216" s="127"/>
      <c r="M216" s="109"/>
      <c r="N216" s="110"/>
      <c r="O216" s="223"/>
      <c r="P216" s="223"/>
      <c r="Q216" s="223"/>
      <c r="R216" s="220"/>
    </row>
    <row r="217" spans="1:23" s="193" customFormat="1" x14ac:dyDescent="0.2">
      <c r="A217" s="424"/>
      <c r="B217" s="426"/>
      <c r="C217" s="425"/>
      <c r="D217" s="425"/>
      <c r="E217" s="184" t="s">
        <v>22</v>
      </c>
      <c r="F217" s="112">
        <f>SUM(F216:F216)</f>
        <v>223.3</v>
      </c>
      <c r="G217" s="174">
        <f>SUM(G216:G216)</f>
        <v>283.60000000000002</v>
      </c>
      <c r="H217" s="112">
        <f>SUM(H216:H216)</f>
        <v>306.3</v>
      </c>
      <c r="I217" s="112">
        <f>SUM(I216:I216)</f>
        <v>330.8</v>
      </c>
      <c r="J217" s="108"/>
      <c r="K217" s="108"/>
      <c r="L217" s="127"/>
      <c r="M217" s="109"/>
      <c r="N217" s="110"/>
      <c r="O217" s="223"/>
      <c r="P217" s="223"/>
      <c r="Q217" s="223"/>
      <c r="R217" s="114">
        <f>(G217-F217)/F217</f>
        <v>0.27004030452306316</v>
      </c>
    </row>
    <row r="218" spans="1:23" s="193" customFormat="1" x14ac:dyDescent="0.2">
      <c r="A218" s="424" t="s">
        <v>10</v>
      </c>
      <c r="B218" s="426" t="s">
        <v>10</v>
      </c>
      <c r="C218" s="425" t="s">
        <v>25</v>
      </c>
      <c r="D218" s="425" t="s">
        <v>21</v>
      </c>
      <c r="E218" s="423" t="s">
        <v>57</v>
      </c>
      <c r="F218" s="423"/>
      <c r="G218" s="423"/>
      <c r="H218" s="423"/>
      <c r="I218" s="423"/>
      <c r="J218" s="430" t="s">
        <v>19</v>
      </c>
      <c r="K218" s="103" t="s">
        <v>145</v>
      </c>
      <c r="L218" s="104" t="s">
        <v>58</v>
      </c>
      <c r="M218" s="103" t="s">
        <v>12</v>
      </c>
      <c r="N218" s="221">
        <v>15</v>
      </c>
      <c r="O218" s="221">
        <v>20</v>
      </c>
      <c r="P218" s="221">
        <v>25</v>
      </c>
      <c r="Q218" s="224" t="s">
        <v>19</v>
      </c>
      <c r="R218" s="220"/>
      <c r="S218" s="439"/>
      <c r="T218" s="439"/>
      <c r="U218" s="439"/>
      <c r="V218" s="439"/>
      <c r="W218" s="439"/>
    </row>
    <row r="219" spans="1:23" s="193" customFormat="1" x14ac:dyDescent="0.2">
      <c r="A219" s="424"/>
      <c r="B219" s="426"/>
      <c r="C219" s="425"/>
      <c r="D219" s="425"/>
      <c r="E219" s="423"/>
      <c r="F219" s="423"/>
      <c r="G219" s="423"/>
      <c r="H219" s="423"/>
      <c r="I219" s="423"/>
      <c r="J219" s="430"/>
      <c r="K219" s="103" t="s">
        <v>146</v>
      </c>
      <c r="L219" s="104" t="s">
        <v>59</v>
      </c>
      <c r="M219" s="103" t="s">
        <v>12</v>
      </c>
      <c r="N219" s="221">
        <v>800</v>
      </c>
      <c r="O219" s="221">
        <v>850</v>
      </c>
      <c r="P219" s="221">
        <v>900</v>
      </c>
      <c r="Q219" s="224" t="s">
        <v>19</v>
      </c>
      <c r="R219" s="220"/>
      <c r="S219" s="148"/>
      <c r="T219" s="148"/>
      <c r="U219" s="148"/>
      <c r="V219" s="148"/>
      <c r="W219" s="148"/>
    </row>
    <row r="220" spans="1:23" s="193" customFormat="1" x14ac:dyDescent="0.2">
      <c r="A220" s="424"/>
      <c r="B220" s="426"/>
      <c r="C220" s="425"/>
      <c r="D220" s="425"/>
      <c r="E220" s="105" t="s">
        <v>14</v>
      </c>
      <c r="F220" s="107">
        <f>35-8.5</f>
        <v>26.5</v>
      </c>
      <c r="G220" s="106">
        <v>35</v>
      </c>
      <c r="H220" s="106">
        <f>ROUND(G220*Lapas1!$B$1, 1)</f>
        <v>37.799999999999997</v>
      </c>
      <c r="I220" s="106">
        <f>ROUND(H220*Lapas1!$B$1, 1)</f>
        <v>40.799999999999997</v>
      </c>
      <c r="J220" s="108"/>
      <c r="K220" s="108"/>
      <c r="L220" s="109"/>
      <c r="M220" s="109"/>
      <c r="N220" s="110"/>
      <c r="O220" s="223"/>
      <c r="P220" s="223"/>
      <c r="Q220" s="223"/>
      <c r="R220" s="220"/>
    </row>
    <row r="221" spans="1:23" s="193" customFormat="1" x14ac:dyDescent="0.2">
      <c r="A221" s="424"/>
      <c r="B221" s="426"/>
      <c r="C221" s="425"/>
      <c r="D221" s="425"/>
      <c r="E221" s="184" t="s">
        <v>22</v>
      </c>
      <c r="F221" s="112">
        <f t="shared" ref="F221" si="54">SUM(F220:F220)</f>
        <v>26.5</v>
      </c>
      <c r="G221" s="174">
        <f t="shared" ref="G221:I221" si="55">SUM(G220:G220)</f>
        <v>35</v>
      </c>
      <c r="H221" s="112">
        <f t="shared" si="55"/>
        <v>37.799999999999997</v>
      </c>
      <c r="I221" s="112">
        <f t="shared" si="55"/>
        <v>40.799999999999997</v>
      </c>
      <c r="J221" s="108"/>
      <c r="K221" s="108"/>
      <c r="L221" s="109"/>
      <c r="M221" s="109"/>
      <c r="N221" s="110"/>
      <c r="O221" s="223"/>
      <c r="P221" s="223"/>
      <c r="Q221" s="223"/>
      <c r="R221" s="114">
        <f>(G221-F221)/F221</f>
        <v>0.32075471698113206</v>
      </c>
    </row>
    <row r="222" spans="1:23" s="193" customFormat="1" x14ac:dyDescent="0.2">
      <c r="A222" s="144" t="s">
        <v>10</v>
      </c>
      <c r="B222" s="154" t="s">
        <v>10</v>
      </c>
      <c r="C222" s="118"/>
      <c r="D222" s="118" t="s">
        <v>31</v>
      </c>
      <c r="E222" s="128" t="s">
        <v>275</v>
      </c>
      <c r="F222" s="120">
        <f>F208+F213+F217+F221</f>
        <v>355.1</v>
      </c>
      <c r="G222" s="186">
        <f>G208+G213+G217+G221</f>
        <v>780.1</v>
      </c>
      <c r="H222" s="120">
        <f>H208+H213+H217+H221</f>
        <v>842.5</v>
      </c>
      <c r="I222" s="120">
        <f>I208+I213+I217+I221</f>
        <v>909.8</v>
      </c>
      <c r="J222" s="121"/>
      <c r="K222" s="227"/>
      <c r="L222" s="227"/>
      <c r="M222" s="227"/>
      <c r="N222" s="228"/>
      <c r="O222" s="228"/>
      <c r="P222" s="228"/>
      <c r="Q222" s="228"/>
      <c r="R222" s="220"/>
    </row>
    <row r="223" spans="1:23" s="193" customFormat="1" x14ac:dyDescent="0.2">
      <c r="A223" s="229" t="s">
        <v>10</v>
      </c>
      <c r="B223" s="122"/>
      <c r="C223" s="122"/>
      <c r="D223" s="122"/>
      <c r="E223" s="125" t="s">
        <v>276</v>
      </c>
      <c r="F223" s="124">
        <f>F222+F203</f>
        <v>557.29999999999995</v>
      </c>
      <c r="G223" s="187">
        <f>G222+G203</f>
        <v>985.5</v>
      </c>
      <c r="H223" s="124">
        <f>H222+H203</f>
        <v>1064.3</v>
      </c>
      <c r="I223" s="124">
        <f>I222+I203</f>
        <v>1149.3</v>
      </c>
      <c r="J223" s="125"/>
      <c r="K223" s="230"/>
      <c r="L223" s="230"/>
      <c r="M223" s="230"/>
      <c r="N223" s="231"/>
      <c r="O223" s="231"/>
      <c r="P223" s="231"/>
      <c r="Q223" s="231"/>
      <c r="R223" s="220"/>
    </row>
    <row r="224" spans="1:23" s="193" customFormat="1" x14ac:dyDescent="0.2">
      <c r="A224" s="144" t="s">
        <v>24</v>
      </c>
      <c r="B224" s="101"/>
      <c r="C224" s="101"/>
      <c r="D224" s="101"/>
      <c r="E224" s="434" t="s">
        <v>938</v>
      </c>
      <c r="F224" s="434"/>
      <c r="G224" s="434"/>
      <c r="H224" s="434"/>
      <c r="I224" s="434"/>
      <c r="J224" s="434"/>
      <c r="K224" s="434"/>
      <c r="L224" s="434"/>
      <c r="M224" s="434"/>
      <c r="N224" s="434"/>
      <c r="O224" s="434"/>
      <c r="P224" s="434"/>
      <c r="Q224" s="434"/>
      <c r="R224" s="220"/>
    </row>
    <row r="225" spans="1:23" s="193" customFormat="1" ht="25.5" x14ac:dyDescent="0.2">
      <c r="A225" s="424" t="s">
        <v>24</v>
      </c>
      <c r="B225" s="437" t="s">
        <v>0</v>
      </c>
      <c r="C225" s="429"/>
      <c r="D225" s="429" t="s">
        <v>31</v>
      </c>
      <c r="E225" s="435" t="s">
        <v>1008</v>
      </c>
      <c r="F225" s="435"/>
      <c r="G225" s="435"/>
      <c r="H225" s="435"/>
      <c r="I225" s="435"/>
      <c r="J225" s="429" t="s">
        <v>147</v>
      </c>
      <c r="K225" s="102" t="s">
        <v>41</v>
      </c>
      <c r="L225" s="102" t="s">
        <v>149</v>
      </c>
      <c r="M225" s="102" t="s">
        <v>12</v>
      </c>
      <c r="N225" s="302">
        <v>6</v>
      </c>
      <c r="O225" s="302">
        <v>6</v>
      </c>
      <c r="P225" s="302">
        <v>6</v>
      </c>
      <c r="Q225" s="436" t="s">
        <v>281</v>
      </c>
      <c r="R225" s="220"/>
    </row>
    <row r="226" spans="1:23" s="193" customFormat="1" x14ac:dyDescent="0.2">
      <c r="A226" s="424"/>
      <c r="B226" s="437"/>
      <c r="C226" s="429"/>
      <c r="D226" s="429"/>
      <c r="E226" s="435"/>
      <c r="F226" s="435"/>
      <c r="G226" s="435"/>
      <c r="H226" s="435"/>
      <c r="I226" s="435"/>
      <c r="J226" s="429"/>
      <c r="K226" s="102" t="s">
        <v>148</v>
      </c>
      <c r="L226" s="102" t="s">
        <v>171</v>
      </c>
      <c r="M226" s="102" t="s">
        <v>12</v>
      </c>
      <c r="N226" s="302">
        <v>3</v>
      </c>
      <c r="O226" s="302">
        <v>3</v>
      </c>
      <c r="P226" s="302">
        <v>3</v>
      </c>
      <c r="Q226" s="436"/>
      <c r="R226" s="220"/>
    </row>
    <row r="227" spans="1:23" s="193" customFormat="1" ht="25.5" x14ac:dyDescent="0.2">
      <c r="A227" s="424"/>
      <c r="B227" s="437"/>
      <c r="C227" s="429"/>
      <c r="D227" s="429"/>
      <c r="E227" s="435"/>
      <c r="F227" s="435"/>
      <c r="G227" s="435"/>
      <c r="H227" s="435"/>
      <c r="I227" s="435"/>
      <c r="J227" s="429"/>
      <c r="K227" s="102" t="s">
        <v>42</v>
      </c>
      <c r="L227" s="102" t="s">
        <v>62</v>
      </c>
      <c r="M227" s="102" t="s">
        <v>35</v>
      </c>
      <c r="N227" s="302">
        <v>920</v>
      </c>
      <c r="O227" s="302">
        <v>1100</v>
      </c>
      <c r="P227" s="302">
        <v>1500</v>
      </c>
      <c r="Q227" s="436"/>
      <c r="R227" s="220"/>
    </row>
    <row r="228" spans="1:23" s="193" customFormat="1" x14ac:dyDescent="0.2">
      <c r="A228" s="424" t="s">
        <v>24</v>
      </c>
      <c r="B228" s="426" t="s">
        <v>0</v>
      </c>
      <c r="C228" s="430" t="s">
        <v>0</v>
      </c>
      <c r="D228" s="430" t="s">
        <v>21</v>
      </c>
      <c r="E228" s="423" t="s">
        <v>63</v>
      </c>
      <c r="F228" s="423"/>
      <c r="G228" s="423"/>
      <c r="H228" s="423"/>
      <c r="I228" s="423"/>
      <c r="J228" s="438" t="s">
        <v>19</v>
      </c>
      <c r="K228" s="103" t="s">
        <v>176</v>
      </c>
      <c r="L228" s="104" t="s">
        <v>64</v>
      </c>
      <c r="M228" s="103" t="s">
        <v>12</v>
      </c>
      <c r="N228" s="221">
        <v>8</v>
      </c>
      <c r="O228" s="221">
        <v>9</v>
      </c>
      <c r="P228" s="221">
        <v>10</v>
      </c>
      <c r="Q228" s="224" t="s">
        <v>19</v>
      </c>
      <c r="R228" s="220"/>
      <c r="S228" s="440"/>
      <c r="T228" s="440"/>
      <c r="U228" s="440"/>
      <c r="V228" s="440"/>
      <c r="W228" s="440"/>
    </row>
    <row r="229" spans="1:23" s="193" customFormat="1" x14ac:dyDescent="0.2">
      <c r="A229" s="424"/>
      <c r="B229" s="426"/>
      <c r="C229" s="430"/>
      <c r="D229" s="430"/>
      <c r="E229" s="423"/>
      <c r="F229" s="423"/>
      <c r="G229" s="423"/>
      <c r="H229" s="423"/>
      <c r="I229" s="423"/>
      <c r="J229" s="438"/>
      <c r="K229" s="103" t="s">
        <v>177</v>
      </c>
      <c r="L229" s="104" t="s">
        <v>65</v>
      </c>
      <c r="M229" s="103" t="s">
        <v>35</v>
      </c>
      <c r="N229" s="221">
        <v>6</v>
      </c>
      <c r="O229" s="221">
        <v>6</v>
      </c>
      <c r="P229" s="221">
        <v>7</v>
      </c>
      <c r="Q229" s="224" t="s">
        <v>19</v>
      </c>
      <c r="R229" s="220"/>
      <c r="S229" s="440"/>
      <c r="T229" s="440"/>
      <c r="U229" s="440"/>
      <c r="V229" s="440"/>
      <c r="W229" s="440"/>
    </row>
    <row r="230" spans="1:23" s="193" customFormat="1" x14ac:dyDescent="0.2">
      <c r="A230" s="424"/>
      <c r="B230" s="426"/>
      <c r="C230" s="430"/>
      <c r="D230" s="430"/>
      <c r="E230" s="423"/>
      <c r="F230" s="423"/>
      <c r="G230" s="423"/>
      <c r="H230" s="423"/>
      <c r="I230" s="423"/>
      <c r="J230" s="438"/>
      <c r="K230" s="129" t="s">
        <v>180</v>
      </c>
      <c r="L230" s="104" t="s">
        <v>181</v>
      </c>
      <c r="M230" s="129" t="s">
        <v>35</v>
      </c>
      <c r="N230" s="221">
        <v>20</v>
      </c>
      <c r="O230" s="221">
        <v>25</v>
      </c>
      <c r="P230" s="221">
        <v>27</v>
      </c>
      <c r="Q230" s="224" t="s">
        <v>19</v>
      </c>
      <c r="R230" s="220"/>
      <c r="S230" s="149"/>
      <c r="T230" s="149"/>
      <c r="U230" s="149"/>
      <c r="V230" s="149"/>
      <c r="W230" s="149"/>
    </row>
    <row r="231" spans="1:23" s="193" customFormat="1" x14ac:dyDescent="0.2">
      <c r="A231" s="424"/>
      <c r="B231" s="426"/>
      <c r="C231" s="430"/>
      <c r="D231" s="430"/>
      <c r="E231" s="105" t="s">
        <v>14</v>
      </c>
      <c r="F231" s="107">
        <v>38.5</v>
      </c>
      <c r="G231" s="106">
        <v>35</v>
      </c>
      <c r="H231" s="106">
        <f>ROUND(G231*Lapas1!$B$1, 1)</f>
        <v>37.799999999999997</v>
      </c>
      <c r="I231" s="106">
        <f>ROUND(H231*Lapas1!$B$1, 1)</f>
        <v>40.799999999999997</v>
      </c>
      <c r="J231" s="108"/>
      <c r="K231" s="108"/>
      <c r="L231" s="109"/>
      <c r="M231" s="109"/>
      <c r="N231" s="110"/>
      <c r="O231" s="223"/>
      <c r="P231" s="223"/>
      <c r="Q231" s="223"/>
      <c r="R231" s="220"/>
    </row>
    <row r="232" spans="1:23" s="193" customFormat="1" x14ac:dyDescent="0.2">
      <c r="A232" s="424"/>
      <c r="B232" s="426"/>
      <c r="C232" s="430"/>
      <c r="D232" s="430"/>
      <c r="E232" s="105" t="s">
        <v>15</v>
      </c>
      <c r="F232" s="107">
        <v>12</v>
      </c>
      <c r="G232" s="106"/>
      <c r="H232" s="106"/>
      <c r="I232" s="106"/>
      <c r="J232" s="108"/>
      <c r="K232" s="108"/>
      <c r="L232" s="109"/>
      <c r="M232" s="109"/>
      <c r="N232" s="110"/>
      <c r="O232" s="223"/>
      <c r="P232" s="223"/>
      <c r="Q232" s="223"/>
      <c r="R232" s="220"/>
    </row>
    <row r="233" spans="1:23" s="193" customFormat="1" x14ac:dyDescent="0.2">
      <c r="A233" s="424"/>
      <c r="B233" s="426"/>
      <c r="C233" s="430"/>
      <c r="D233" s="430"/>
      <c r="E233" s="130"/>
      <c r="F233" s="112">
        <f>SUM(F231:F232)</f>
        <v>50.5</v>
      </c>
      <c r="G233" s="174">
        <f t="shared" ref="G233:I233" si="56">SUM(G231:G232)</f>
        <v>35</v>
      </c>
      <c r="H233" s="112">
        <f t="shared" si="56"/>
        <v>37.799999999999997</v>
      </c>
      <c r="I233" s="112">
        <f t="shared" si="56"/>
        <v>40.799999999999997</v>
      </c>
      <c r="J233" s="108"/>
      <c r="K233" s="108"/>
      <c r="L233" s="109"/>
      <c r="M233" s="109"/>
      <c r="N233" s="110"/>
      <c r="O233" s="223"/>
      <c r="P233" s="223"/>
      <c r="Q233" s="223"/>
      <c r="R233" s="114">
        <f>(G233-F233)/F233</f>
        <v>-0.30693069306930693</v>
      </c>
    </row>
    <row r="234" spans="1:23" s="193" customFormat="1" x14ac:dyDescent="0.2">
      <c r="A234" s="424" t="s">
        <v>24</v>
      </c>
      <c r="B234" s="426" t="s">
        <v>0</v>
      </c>
      <c r="C234" s="425" t="s">
        <v>10</v>
      </c>
      <c r="D234" s="425" t="s">
        <v>21</v>
      </c>
      <c r="E234" s="423" t="s">
        <v>264</v>
      </c>
      <c r="F234" s="423"/>
      <c r="G234" s="423"/>
      <c r="H234" s="423"/>
      <c r="I234" s="423"/>
      <c r="J234" s="438" t="s">
        <v>19</v>
      </c>
      <c r="K234" s="103" t="s">
        <v>60</v>
      </c>
      <c r="L234" s="105" t="s">
        <v>150</v>
      </c>
      <c r="M234" s="103" t="s">
        <v>12</v>
      </c>
      <c r="N234" s="221">
        <v>35</v>
      </c>
      <c r="O234" s="221">
        <v>40</v>
      </c>
      <c r="P234" s="221">
        <v>45</v>
      </c>
      <c r="Q234" s="224" t="s">
        <v>19</v>
      </c>
      <c r="R234" s="220"/>
      <c r="S234" s="149"/>
      <c r="T234" s="149"/>
      <c r="U234" s="149"/>
      <c r="V234" s="149"/>
      <c r="W234" s="149"/>
    </row>
    <row r="235" spans="1:23" s="193" customFormat="1" x14ac:dyDescent="0.2">
      <c r="A235" s="424"/>
      <c r="B235" s="426"/>
      <c r="C235" s="425"/>
      <c r="D235" s="425"/>
      <c r="E235" s="423"/>
      <c r="F235" s="423"/>
      <c r="G235" s="423"/>
      <c r="H235" s="423"/>
      <c r="I235" s="423"/>
      <c r="J235" s="438"/>
      <c r="K235" s="103" t="s">
        <v>152</v>
      </c>
      <c r="L235" s="105" t="s">
        <v>66</v>
      </c>
      <c r="M235" s="103" t="s">
        <v>12</v>
      </c>
      <c r="N235" s="221">
        <v>2000</v>
      </c>
      <c r="O235" s="221">
        <v>2100</v>
      </c>
      <c r="P235" s="221">
        <v>2200</v>
      </c>
      <c r="Q235" s="224" t="s">
        <v>19</v>
      </c>
      <c r="R235" s="220"/>
      <c r="S235" s="149"/>
      <c r="T235" s="149"/>
      <c r="U235" s="149"/>
      <c r="V235" s="149"/>
      <c r="W235" s="149"/>
    </row>
    <row r="236" spans="1:23" s="193" customFormat="1" x14ac:dyDescent="0.2">
      <c r="A236" s="424"/>
      <c r="B236" s="426"/>
      <c r="C236" s="425"/>
      <c r="D236" s="425"/>
      <c r="E236" s="105" t="s">
        <v>14</v>
      </c>
      <c r="F236" s="106">
        <v>82.3</v>
      </c>
      <c r="G236" s="106">
        <v>95</v>
      </c>
      <c r="H236" s="106">
        <f>ROUND(G236*Lapas1!$B$1, 1)</f>
        <v>102.6</v>
      </c>
      <c r="I236" s="106">
        <f>ROUND(H236*Lapas1!$B$1, 1)</f>
        <v>110.8</v>
      </c>
      <c r="J236" s="108"/>
      <c r="K236" s="108"/>
      <c r="L236" s="109"/>
      <c r="M236" s="109"/>
      <c r="N236" s="110"/>
      <c r="O236" s="223"/>
      <c r="P236" s="223"/>
      <c r="Q236" s="223"/>
      <c r="R236" s="220"/>
    </row>
    <row r="237" spans="1:23" s="193" customFormat="1" x14ac:dyDescent="0.2">
      <c r="A237" s="424"/>
      <c r="B237" s="426"/>
      <c r="C237" s="425"/>
      <c r="D237" s="425"/>
      <c r="E237" s="130"/>
      <c r="F237" s="112">
        <f t="shared" ref="F237" si="57">SUM(F236:F236)</f>
        <v>82.3</v>
      </c>
      <c r="G237" s="174">
        <f t="shared" ref="G237:I237" si="58">SUM(G236:G236)</f>
        <v>95</v>
      </c>
      <c r="H237" s="112">
        <f t="shared" si="58"/>
        <v>102.6</v>
      </c>
      <c r="I237" s="112">
        <f t="shared" si="58"/>
        <v>110.8</v>
      </c>
      <c r="J237" s="108"/>
      <c r="K237" s="108"/>
      <c r="L237" s="109"/>
      <c r="M237" s="109"/>
      <c r="N237" s="110"/>
      <c r="O237" s="223"/>
      <c r="P237" s="223"/>
      <c r="Q237" s="223"/>
      <c r="R237" s="114">
        <f>(G237-F237)/F237</f>
        <v>0.15431348724179833</v>
      </c>
    </row>
    <row r="238" spans="1:23" s="193" customFormat="1" x14ac:dyDescent="0.2">
      <c r="A238" s="144" t="s">
        <v>24</v>
      </c>
      <c r="B238" s="150" t="s">
        <v>0</v>
      </c>
      <c r="C238" s="118"/>
      <c r="D238" s="118" t="s">
        <v>31</v>
      </c>
      <c r="E238" s="119" t="s">
        <v>275</v>
      </c>
      <c r="F238" s="120">
        <f>F237+F233</f>
        <v>132.80000000000001</v>
      </c>
      <c r="G238" s="186">
        <f t="shared" ref="G238:I238" si="59">G237+G233</f>
        <v>130</v>
      </c>
      <c r="H238" s="120">
        <f t="shared" si="59"/>
        <v>140.39999999999998</v>
      </c>
      <c r="I238" s="120">
        <f t="shared" si="59"/>
        <v>151.6</v>
      </c>
      <c r="J238" s="121"/>
      <c r="K238" s="227"/>
      <c r="L238" s="227"/>
      <c r="M238" s="227"/>
      <c r="N238" s="227"/>
      <c r="O238" s="227"/>
      <c r="P238" s="227"/>
      <c r="Q238" s="227"/>
      <c r="R238" s="220"/>
    </row>
    <row r="239" spans="1:23" s="193" customFormat="1" x14ac:dyDescent="0.2">
      <c r="A239" s="229" t="s">
        <v>24</v>
      </c>
      <c r="B239" s="122"/>
      <c r="C239" s="122"/>
      <c r="D239" s="122"/>
      <c r="E239" s="123" t="s">
        <v>276</v>
      </c>
      <c r="F239" s="124">
        <f>F238</f>
        <v>132.80000000000001</v>
      </c>
      <c r="G239" s="187">
        <f t="shared" ref="G239:I239" si="60">G238</f>
        <v>130</v>
      </c>
      <c r="H239" s="124">
        <f t="shared" si="60"/>
        <v>140.39999999999998</v>
      </c>
      <c r="I239" s="124">
        <f t="shared" si="60"/>
        <v>151.6</v>
      </c>
      <c r="J239" s="125"/>
      <c r="K239" s="230"/>
      <c r="L239" s="230"/>
      <c r="M239" s="230"/>
      <c r="N239" s="230"/>
      <c r="O239" s="230"/>
      <c r="P239" s="230"/>
      <c r="Q239" s="230"/>
      <c r="R239" s="220"/>
    </row>
    <row r="240" spans="1:23" s="193" customFormat="1" x14ac:dyDescent="0.2">
      <c r="A240" s="144" t="s">
        <v>25</v>
      </c>
      <c r="B240" s="101"/>
      <c r="C240" s="101"/>
      <c r="D240" s="101"/>
      <c r="E240" s="434" t="s">
        <v>67</v>
      </c>
      <c r="F240" s="434"/>
      <c r="G240" s="434"/>
      <c r="H240" s="434"/>
      <c r="I240" s="434"/>
      <c r="J240" s="434"/>
      <c r="K240" s="434"/>
      <c r="L240" s="434"/>
      <c r="M240" s="434"/>
      <c r="N240" s="434"/>
      <c r="O240" s="434"/>
      <c r="P240" s="434"/>
      <c r="Q240" s="434"/>
      <c r="R240" s="220"/>
    </row>
    <row r="241" spans="1:23" s="193" customFormat="1" ht="25.5" x14ac:dyDescent="0.2">
      <c r="A241" s="144" t="s">
        <v>25</v>
      </c>
      <c r="B241" s="150" t="s">
        <v>0</v>
      </c>
      <c r="C241" s="146"/>
      <c r="D241" s="146" t="s">
        <v>31</v>
      </c>
      <c r="E241" s="435" t="s">
        <v>151</v>
      </c>
      <c r="F241" s="435"/>
      <c r="G241" s="435"/>
      <c r="H241" s="435"/>
      <c r="I241" s="435"/>
      <c r="J241" s="146" t="s">
        <v>178</v>
      </c>
      <c r="K241" s="102" t="s">
        <v>50</v>
      </c>
      <c r="L241" s="102" t="s">
        <v>87</v>
      </c>
      <c r="M241" s="102" t="s">
        <v>11</v>
      </c>
      <c r="N241" s="302">
        <v>3.62</v>
      </c>
      <c r="O241" s="302">
        <v>3.79</v>
      </c>
      <c r="P241" s="302">
        <v>3.83</v>
      </c>
      <c r="Q241" s="143" t="s">
        <v>282</v>
      </c>
      <c r="R241" s="220"/>
      <c r="S241" s="149"/>
      <c r="T241" s="149"/>
      <c r="U241" s="149"/>
      <c r="V241" s="149"/>
      <c r="W241" s="149"/>
    </row>
    <row r="242" spans="1:23" s="193" customFormat="1" x14ac:dyDescent="0.2">
      <c r="A242" s="424" t="s">
        <v>25</v>
      </c>
      <c r="B242" s="426" t="s">
        <v>0</v>
      </c>
      <c r="C242" s="430" t="s">
        <v>0</v>
      </c>
      <c r="D242" s="430" t="s">
        <v>21</v>
      </c>
      <c r="E242" s="423" t="s">
        <v>68</v>
      </c>
      <c r="F242" s="423"/>
      <c r="G242" s="423"/>
      <c r="H242" s="423"/>
      <c r="I242" s="423"/>
      <c r="J242" s="438" t="s">
        <v>19</v>
      </c>
      <c r="K242" s="103" t="s">
        <v>60</v>
      </c>
      <c r="L242" s="105" t="s">
        <v>69</v>
      </c>
      <c r="M242" s="103" t="s">
        <v>35</v>
      </c>
      <c r="N242" s="221">
        <v>253</v>
      </c>
      <c r="O242" s="221">
        <v>260</v>
      </c>
      <c r="P242" s="221">
        <v>265</v>
      </c>
      <c r="Q242" s="224" t="s">
        <v>19</v>
      </c>
      <c r="R242" s="220"/>
      <c r="S242" s="149"/>
      <c r="T242" s="149"/>
      <c r="U242" s="149"/>
      <c r="V242" s="149"/>
      <c r="W242" s="149"/>
    </row>
    <row r="243" spans="1:23" s="193" customFormat="1" x14ac:dyDescent="0.2">
      <c r="A243" s="424"/>
      <c r="B243" s="426"/>
      <c r="C243" s="430"/>
      <c r="D243" s="430"/>
      <c r="E243" s="423"/>
      <c r="F243" s="423"/>
      <c r="G243" s="423"/>
      <c r="H243" s="423"/>
      <c r="I243" s="423"/>
      <c r="J243" s="438"/>
      <c r="K243" s="103" t="s">
        <v>152</v>
      </c>
      <c r="L243" s="105" t="s">
        <v>70</v>
      </c>
      <c r="M243" s="103" t="s">
        <v>12</v>
      </c>
      <c r="N243" s="221">
        <v>240</v>
      </c>
      <c r="O243" s="221">
        <v>250</v>
      </c>
      <c r="P243" s="221">
        <v>255</v>
      </c>
      <c r="Q243" s="224" t="s">
        <v>19</v>
      </c>
      <c r="R243" s="220"/>
      <c r="S243" s="149"/>
      <c r="T243" s="149"/>
      <c r="U243" s="149"/>
      <c r="V243" s="149"/>
      <c r="W243" s="149"/>
    </row>
    <row r="244" spans="1:23" s="193" customFormat="1" x14ac:dyDescent="0.2">
      <c r="A244" s="424"/>
      <c r="B244" s="426"/>
      <c r="C244" s="430"/>
      <c r="D244" s="430"/>
      <c r="E244" s="105" t="s">
        <v>14</v>
      </c>
      <c r="F244" s="107">
        <v>12</v>
      </c>
      <c r="G244" s="106">
        <v>15</v>
      </c>
      <c r="H244" s="106">
        <f>ROUND(G244*Lapas1!$B$1, 1)</f>
        <v>16.2</v>
      </c>
      <c r="I244" s="106">
        <f>ROUND(H244*Lapas1!$B$1, 1)</f>
        <v>17.5</v>
      </c>
      <c r="J244" s="108"/>
      <c r="K244" s="131"/>
      <c r="L244" s="132"/>
      <c r="M244" s="132"/>
      <c r="N244" s="110"/>
      <c r="O244" s="232"/>
      <c r="P244" s="232"/>
      <c r="Q244" s="232"/>
      <c r="R244" s="220"/>
    </row>
    <row r="245" spans="1:23" s="193" customFormat="1" x14ac:dyDescent="0.2">
      <c r="A245" s="424"/>
      <c r="B245" s="426"/>
      <c r="C245" s="430"/>
      <c r="D245" s="430"/>
      <c r="E245" s="117" t="s">
        <v>22</v>
      </c>
      <c r="F245" s="112">
        <f t="shared" ref="F245" si="61">SUM(F244:F244)</f>
        <v>12</v>
      </c>
      <c r="G245" s="174">
        <f t="shared" ref="G245:I245" si="62">SUM(G244:G244)</f>
        <v>15</v>
      </c>
      <c r="H245" s="112">
        <f t="shared" si="62"/>
        <v>16.2</v>
      </c>
      <c r="I245" s="112">
        <f t="shared" si="62"/>
        <v>17.5</v>
      </c>
      <c r="J245" s="108"/>
      <c r="K245" s="131"/>
      <c r="L245" s="132"/>
      <c r="M245" s="132"/>
      <c r="N245" s="110"/>
      <c r="O245" s="232"/>
      <c r="P245" s="232"/>
      <c r="Q245" s="232"/>
      <c r="R245" s="114">
        <f>(G245-F245)/F245</f>
        <v>0.25</v>
      </c>
    </row>
    <row r="246" spans="1:23" s="193" customFormat="1" x14ac:dyDescent="0.2">
      <c r="A246" s="144" t="s">
        <v>25</v>
      </c>
      <c r="B246" s="150" t="s">
        <v>0</v>
      </c>
      <c r="C246" s="118"/>
      <c r="D246" s="118" t="s">
        <v>31</v>
      </c>
      <c r="E246" s="119" t="s">
        <v>275</v>
      </c>
      <c r="F246" s="120">
        <f>F245</f>
        <v>12</v>
      </c>
      <c r="G246" s="186">
        <f t="shared" ref="G246:I247" si="63">G245</f>
        <v>15</v>
      </c>
      <c r="H246" s="120">
        <f t="shared" si="63"/>
        <v>16.2</v>
      </c>
      <c r="I246" s="120">
        <f t="shared" si="63"/>
        <v>17.5</v>
      </c>
      <c r="J246" s="121"/>
      <c r="K246" s="233"/>
      <c r="L246" s="233"/>
      <c r="M246" s="233"/>
      <c r="N246" s="227"/>
      <c r="O246" s="227"/>
      <c r="P246" s="227"/>
      <c r="Q246" s="227"/>
      <c r="R246" s="220"/>
    </row>
    <row r="247" spans="1:23" s="193" customFormat="1" x14ac:dyDescent="0.2">
      <c r="A247" s="229" t="s">
        <v>25</v>
      </c>
      <c r="B247" s="122"/>
      <c r="C247" s="122"/>
      <c r="D247" s="122"/>
      <c r="E247" s="123" t="s">
        <v>276</v>
      </c>
      <c r="F247" s="124">
        <f>F246</f>
        <v>12</v>
      </c>
      <c r="G247" s="187">
        <f t="shared" si="63"/>
        <v>15</v>
      </c>
      <c r="H247" s="124">
        <f t="shared" si="63"/>
        <v>16.2</v>
      </c>
      <c r="I247" s="124">
        <f t="shared" si="63"/>
        <v>17.5</v>
      </c>
      <c r="J247" s="125"/>
      <c r="K247" s="234"/>
      <c r="L247" s="234"/>
      <c r="M247" s="234"/>
      <c r="N247" s="230"/>
      <c r="O247" s="230"/>
      <c r="P247" s="230"/>
      <c r="Q247" s="230"/>
      <c r="R247" s="220"/>
    </row>
    <row r="248" spans="1:23" s="193" customFormat="1" x14ac:dyDescent="0.2">
      <c r="A248" s="144" t="s">
        <v>26</v>
      </c>
      <c r="B248" s="101"/>
      <c r="C248" s="101"/>
      <c r="D248" s="101"/>
      <c r="E248" s="434" t="s">
        <v>1009</v>
      </c>
      <c r="F248" s="434"/>
      <c r="G248" s="434"/>
      <c r="H248" s="434"/>
      <c r="I248" s="434"/>
      <c r="J248" s="434"/>
      <c r="K248" s="434"/>
      <c r="L248" s="434"/>
      <c r="M248" s="434"/>
      <c r="N248" s="434"/>
      <c r="O248" s="434"/>
      <c r="P248" s="434"/>
      <c r="Q248" s="434"/>
      <c r="R248" s="220"/>
    </row>
    <row r="249" spans="1:23" s="193" customFormat="1" x14ac:dyDescent="0.2">
      <c r="A249" s="144" t="s">
        <v>26</v>
      </c>
      <c r="B249" s="150" t="s">
        <v>0</v>
      </c>
      <c r="C249" s="146"/>
      <c r="D249" s="146" t="s">
        <v>31</v>
      </c>
      <c r="E249" s="435" t="s">
        <v>1010</v>
      </c>
      <c r="F249" s="435"/>
      <c r="G249" s="435"/>
      <c r="H249" s="435"/>
      <c r="I249" s="435"/>
      <c r="J249" s="146" t="s">
        <v>247</v>
      </c>
      <c r="K249" s="102" t="s">
        <v>61</v>
      </c>
      <c r="L249" s="301" t="s">
        <v>72</v>
      </c>
      <c r="M249" s="102" t="s">
        <v>12</v>
      </c>
      <c r="N249" s="302">
        <v>70</v>
      </c>
      <c r="O249" s="302">
        <v>72</v>
      </c>
      <c r="P249" s="302">
        <v>75</v>
      </c>
      <c r="Q249" s="143" t="s">
        <v>283</v>
      </c>
      <c r="R249" s="220"/>
    </row>
    <row r="250" spans="1:23" s="193" customFormat="1" ht="13.5" x14ac:dyDescent="0.2">
      <c r="A250" s="424" t="s">
        <v>26</v>
      </c>
      <c r="B250" s="426" t="s">
        <v>0</v>
      </c>
      <c r="C250" s="430" t="s">
        <v>0</v>
      </c>
      <c r="D250" s="430" t="s">
        <v>21</v>
      </c>
      <c r="E250" s="423" t="s">
        <v>71</v>
      </c>
      <c r="F250" s="423"/>
      <c r="G250" s="423"/>
      <c r="H250" s="423"/>
      <c r="I250" s="423"/>
      <c r="J250" s="151" t="s">
        <v>19</v>
      </c>
      <c r="K250" s="103" t="s">
        <v>153</v>
      </c>
      <c r="L250" s="103" t="s">
        <v>86</v>
      </c>
      <c r="M250" s="103" t="s">
        <v>11</v>
      </c>
      <c r="N250" s="221">
        <v>100</v>
      </c>
      <c r="O250" s="221">
        <v>100</v>
      </c>
      <c r="P250" s="221">
        <v>100</v>
      </c>
      <c r="Q250" s="224" t="s">
        <v>19</v>
      </c>
      <c r="R250" s="220"/>
      <c r="S250" s="148"/>
      <c r="T250" s="148"/>
      <c r="U250" s="148"/>
      <c r="V250" s="148"/>
      <c r="W250" s="148"/>
    </row>
    <row r="251" spans="1:23" s="193" customFormat="1" x14ac:dyDescent="0.2">
      <c r="A251" s="424"/>
      <c r="B251" s="426"/>
      <c r="C251" s="430"/>
      <c r="D251" s="430"/>
      <c r="E251" s="105" t="s">
        <v>14</v>
      </c>
      <c r="F251" s="107">
        <v>90</v>
      </c>
      <c r="G251" s="106">
        <v>100</v>
      </c>
      <c r="H251" s="106">
        <f>ROUND(G251*Lapas1!$B$1, 1)</f>
        <v>108</v>
      </c>
      <c r="I251" s="106">
        <f>ROUND(H251*Lapas1!$B$1, 1)</f>
        <v>116.6</v>
      </c>
      <c r="J251" s="108"/>
      <c r="K251" s="131"/>
      <c r="L251" s="132"/>
      <c r="M251" s="132"/>
      <c r="N251" s="110"/>
      <c r="O251" s="232"/>
      <c r="P251" s="232"/>
      <c r="Q251" s="232"/>
      <c r="R251" s="220"/>
    </row>
    <row r="252" spans="1:23" s="193" customFormat="1" x14ac:dyDescent="0.2">
      <c r="A252" s="424"/>
      <c r="B252" s="426"/>
      <c r="C252" s="430"/>
      <c r="D252" s="430"/>
      <c r="E252" s="117" t="s">
        <v>22</v>
      </c>
      <c r="F252" s="112">
        <f t="shared" ref="F252:I252" si="64">SUM(F251:F251)</f>
        <v>90</v>
      </c>
      <c r="G252" s="174">
        <f t="shared" si="64"/>
        <v>100</v>
      </c>
      <c r="H252" s="112">
        <f t="shared" si="64"/>
        <v>108</v>
      </c>
      <c r="I252" s="112">
        <f t="shared" si="64"/>
        <v>116.6</v>
      </c>
      <c r="J252" s="108"/>
      <c r="K252" s="131"/>
      <c r="L252" s="132"/>
      <c r="M252" s="132"/>
      <c r="N252" s="110"/>
      <c r="O252" s="232"/>
      <c r="P252" s="232"/>
      <c r="Q252" s="232"/>
      <c r="R252" s="114">
        <f>(G252-F252)/F252</f>
        <v>0.1111111111111111</v>
      </c>
    </row>
    <row r="253" spans="1:23" s="193" customFormat="1" x14ac:dyDescent="0.2">
      <c r="A253" s="424" t="s">
        <v>26</v>
      </c>
      <c r="B253" s="426" t="s">
        <v>0</v>
      </c>
      <c r="C253" s="425" t="s">
        <v>10</v>
      </c>
      <c r="D253" s="425" t="s">
        <v>21</v>
      </c>
      <c r="E253" s="423" t="s">
        <v>265</v>
      </c>
      <c r="F253" s="423"/>
      <c r="G253" s="423"/>
      <c r="H253" s="423"/>
      <c r="I253" s="423"/>
      <c r="J253" s="438" t="s">
        <v>19</v>
      </c>
      <c r="K253" s="103" t="s">
        <v>154</v>
      </c>
      <c r="L253" s="104" t="s">
        <v>73</v>
      </c>
      <c r="M253" s="103" t="s">
        <v>12</v>
      </c>
      <c r="N253" s="221">
        <v>2350</v>
      </c>
      <c r="O253" s="221">
        <v>2400</v>
      </c>
      <c r="P253" s="221">
        <v>2450</v>
      </c>
      <c r="Q253" s="224" t="s">
        <v>19</v>
      </c>
      <c r="R253" s="220"/>
      <c r="S253" s="440"/>
      <c r="T253" s="440"/>
      <c r="U253" s="440"/>
      <c r="V253" s="440"/>
      <c r="W253" s="440"/>
    </row>
    <row r="254" spans="1:23" s="193" customFormat="1" x14ac:dyDescent="0.2">
      <c r="A254" s="424"/>
      <c r="B254" s="426"/>
      <c r="C254" s="425"/>
      <c r="D254" s="425"/>
      <c r="E254" s="423"/>
      <c r="F254" s="423"/>
      <c r="G254" s="423"/>
      <c r="H254" s="423"/>
      <c r="I254" s="423"/>
      <c r="J254" s="438"/>
      <c r="K254" s="103" t="s">
        <v>155</v>
      </c>
      <c r="L254" s="104" t="s">
        <v>74</v>
      </c>
      <c r="M254" s="103" t="s">
        <v>35</v>
      </c>
      <c r="N254" s="221">
        <v>420</v>
      </c>
      <c r="O254" s="221">
        <v>440</v>
      </c>
      <c r="P254" s="221">
        <v>460</v>
      </c>
      <c r="Q254" s="224" t="s">
        <v>19</v>
      </c>
      <c r="R254" s="220"/>
      <c r="S254" s="440"/>
      <c r="T254" s="440"/>
      <c r="U254" s="440"/>
      <c r="V254" s="440"/>
      <c r="W254" s="440"/>
    </row>
    <row r="255" spans="1:23" s="193" customFormat="1" x14ac:dyDescent="0.2">
      <c r="A255" s="424"/>
      <c r="B255" s="426"/>
      <c r="C255" s="425"/>
      <c r="D255" s="425"/>
      <c r="E255" s="105" t="s">
        <v>14</v>
      </c>
      <c r="F255" s="107">
        <v>427</v>
      </c>
      <c r="G255" s="106">
        <v>421.1</v>
      </c>
      <c r="H255" s="106">
        <f>ROUND(G255*Lapas1!$B$1, 1)</f>
        <v>454.8</v>
      </c>
      <c r="I255" s="106">
        <f>ROUND(H255*Lapas1!$B$1, 1)</f>
        <v>491.2</v>
      </c>
      <c r="J255" s="108"/>
      <c r="K255" s="131"/>
      <c r="L255" s="132"/>
      <c r="M255" s="132"/>
      <c r="N255" s="110"/>
      <c r="O255" s="232"/>
      <c r="P255" s="232"/>
      <c r="Q255" s="232"/>
      <c r="R255" s="220"/>
    </row>
    <row r="256" spans="1:23" s="193" customFormat="1" x14ac:dyDescent="0.2">
      <c r="A256" s="424"/>
      <c r="B256" s="426"/>
      <c r="C256" s="425"/>
      <c r="D256" s="425"/>
      <c r="E256" s="117" t="s">
        <v>22</v>
      </c>
      <c r="F256" s="113">
        <f t="shared" ref="F256:I256" si="65">SUM(F255:F255)</f>
        <v>427</v>
      </c>
      <c r="G256" s="174">
        <f t="shared" si="65"/>
        <v>421.1</v>
      </c>
      <c r="H256" s="112">
        <f t="shared" si="65"/>
        <v>454.8</v>
      </c>
      <c r="I256" s="112">
        <f t="shared" si="65"/>
        <v>491.2</v>
      </c>
      <c r="J256" s="108"/>
      <c r="K256" s="131"/>
      <c r="L256" s="132"/>
      <c r="M256" s="132"/>
      <c r="N256" s="110"/>
      <c r="O256" s="232"/>
      <c r="P256" s="232"/>
      <c r="Q256" s="232"/>
      <c r="R256" s="114">
        <f>(G256-F256)/F256</f>
        <v>-1.381733021077278E-2</v>
      </c>
    </row>
    <row r="257" spans="1:23" s="193" customFormat="1" ht="13.5" x14ac:dyDescent="0.2">
      <c r="A257" s="424" t="s">
        <v>26</v>
      </c>
      <c r="B257" s="426" t="s">
        <v>0</v>
      </c>
      <c r="C257" s="425" t="s">
        <v>24</v>
      </c>
      <c r="D257" s="425" t="s">
        <v>21</v>
      </c>
      <c r="E257" s="446" t="s">
        <v>903</v>
      </c>
      <c r="F257" s="446"/>
      <c r="G257" s="446"/>
      <c r="H257" s="446"/>
      <c r="I257" s="446"/>
      <c r="J257" s="151" t="s">
        <v>19</v>
      </c>
      <c r="K257" s="103" t="s">
        <v>156</v>
      </c>
      <c r="L257" s="104" t="s">
        <v>76</v>
      </c>
      <c r="M257" s="103" t="s">
        <v>12</v>
      </c>
      <c r="N257" s="221">
        <v>40</v>
      </c>
      <c r="O257" s="221">
        <v>49</v>
      </c>
      <c r="P257" s="221">
        <v>49</v>
      </c>
      <c r="Q257" s="221" t="s">
        <v>19</v>
      </c>
      <c r="R257" s="220"/>
      <c r="S257" s="440"/>
      <c r="T257" s="440"/>
      <c r="U257" s="440"/>
      <c r="V257" s="440"/>
      <c r="W257" s="440"/>
    </row>
    <row r="258" spans="1:23" s="193" customFormat="1" x14ac:dyDescent="0.2">
      <c r="A258" s="424"/>
      <c r="B258" s="426"/>
      <c r="C258" s="425"/>
      <c r="D258" s="425"/>
      <c r="E258" s="105" t="s">
        <v>14</v>
      </c>
      <c r="F258" s="107">
        <v>82</v>
      </c>
      <c r="G258" s="106">
        <v>100</v>
      </c>
      <c r="H258" s="106">
        <f>ROUND(G258*Lapas1!$B$1, 1)</f>
        <v>108</v>
      </c>
      <c r="I258" s="106">
        <f>ROUND(H258*Lapas1!$B$1, 1)</f>
        <v>116.6</v>
      </c>
      <c r="J258" s="108"/>
      <c r="K258" s="131"/>
      <c r="L258" s="132"/>
      <c r="M258" s="132"/>
      <c r="N258" s="110"/>
      <c r="O258" s="232"/>
      <c r="P258" s="232"/>
      <c r="Q258" s="232"/>
      <c r="R258" s="220"/>
    </row>
    <row r="259" spans="1:23" s="193" customFormat="1" x14ac:dyDescent="0.2">
      <c r="A259" s="424"/>
      <c r="B259" s="426"/>
      <c r="C259" s="425"/>
      <c r="D259" s="425"/>
      <c r="E259" s="117" t="s">
        <v>22</v>
      </c>
      <c r="F259" s="112">
        <f t="shared" ref="F259:I259" si="66">SUM(F258:F258)</f>
        <v>82</v>
      </c>
      <c r="G259" s="174">
        <f t="shared" si="66"/>
        <v>100</v>
      </c>
      <c r="H259" s="112">
        <f t="shared" si="66"/>
        <v>108</v>
      </c>
      <c r="I259" s="112">
        <f t="shared" si="66"/>
        <v>116.6</v>
      </c>
      <c r="J259" s="108"/>
      <c r="K259" s="131"/>
      <c r="L259" s="132"/>
      <c r="M259" s="132"/>
      <c r="N259" s="110"/>
      <c r="O259" s="232"/>
      <c r="P259" s="232"/>
      <c r="Q259" s="232"/>
      <c r="R259" s="114">
        <f>(G259-F259)/F259</f>
        <v>0.21951219512195122</v>
      </c>
    </row>
    <row r="260" spans="1:23" s="193" customFormat="1" ht="13.5" x14ac:dyDescent="0.2">
      <c r="A260" s="424" t="s">
        <v>26</v>
      </c>
      <c r="B260" s="426" t="s">
        <v>0</v>
      </c>
      <c r="C260" s="425" t="s">
        <v>25</v>
      </c>
      <c r="D260" s="425" t="s">
        <v>21</v>
      </c>
      <c r="E260" s="423" t="s">
        <v>77</v>
      </c>
      <c r="F260" s="423"/>
      <c r="G260" s="423"/>
      <c r="H260" s="423"/>
      <c r="I260" s="423"/>
      <c r="J260" s="151" t="s">
        <v>19</v>
      </c>
      <c r="K260" s="103" t="s">
        <v>157</v>
      </c>
      <c r="L260" s="104" t="s">
        <v>76</v>
      </c>
      <c r="M260" s="103" t="s">
        <v>12</v>
      </c>
      <c r="N260" s="221">
        <v>30</v>
      </c>
      <c r="O260" s="221">
        <v>30</v>
      </c>
      <c r="P260" s="221">
        <v>30</v>
      </c>
      <c r="Q260" s="224" t="s">
        <v>19</v>
      </c>
      <c r="R260" s="235"/>
      <c r="S260" s="440"/>
      <c r="T260" s="440"/>
      <c r="U260" s="440"/>
      <c r="V260" s="440"/>
      <c r="W260" s="440"/>
    </row>
    <row r="261" spans="1:23" s="193" customFormat="1" x14ac:dyDescent="0.2">
      <c r="A261" s="424"/>
      <c r="B261" s="426"/>
      <c r="C261" s="425"/>
      <c r="D261" s="425"/>
      <c r="E261" s="105" t="s">
        <v>14</v>
      </c>
      <c r="F261" s="107">
        <v>72</v>
      </c>
      <c r="G261" s="106">
        <v>100</v>
      </c>
      <c r="H261" s="106">
        <f>ROUND(G261*Lapas1!$B$1, 1)</f>
        <v>108</v>
      </c>
      <c r="I261" s="106">
        <f>ROUND(H261*Lapas1!$B$1, 1)</f>
        <v>116.6</v>
      </c>
      <c r="J261" s="108"/>
      <c r="K261" s="108"/>
      <c r="L261" s="109"/>
      <c r="M261" s="109"/>
      <c r="N261" s="110"/>
      <c r="O261" s="232"/>
      <c r="P261" s="232"/>
      <c r="Q261" s="232"/>
      <c r="R261" s="220"/>
    </row>
    <row r="262" spans="1:23" s="193" customFormat="1" x14ac:dyDescent="0.2">
      <c r="A262" s="424"/>
      <c r="B262" s="426"/>
      <c r="C262" s="425"/>
      <c r="D262" s="425"/>
      <c r="E262" s="117" t="s">
        <v>22</v>
      </c>
      <c r="F262" s="112">
        <f t="shared" ref="F262" si="67">SUM(F261:F261)</f>
        <v>72</v>
      </c>
      <c r="G262" s="174">
        <f t="shared" ref="G262:I262" si="68">SUM(G261:G261)</f>
        <v>100</v>
      </c>
      <c r="H262" s="112">
        <f t="shared" si="68"/>
        <v>108</v>
      </c>
      <c r="I262" s="112">
        <f t="shared" si="68"/>
        <v>116.6</v>
      </c>
      <c r="J262" s="108"/>
      <c r="K262" s="108"/>
      <c r="L262" s="109"/>
      <c r="M262" s="109"/>
      <c r="N262" s="110"/>
      <c r="O262" s="223"/>
      <c r="P262" s="223"/>
      <c r="Q262" s="223"/>
      <c r="R262" s="114">
        <f>(G262-F262)/F262</f>
        <v>0.3888888888888889</v>
      </c>
    </row>
    <row r="263" spans="1:23" s="193" customFormat="1" x14ac:dyDescent="0.2">
      <c r="A263" s="144" t="s">
        <v>26</v>
      </c>
      <c r="B263" s="150" t="s">
        <v>0</v>
      </c>
      <c r="C263" s="118"/>
      <c r="D263" s="118" t="s">
        <v>31</v>
      </c>
      <c r="E263" s="119" t="s">
        <v>275</v>
      </c>
      <c r="F263" s="120">
        <f>F252+F256+F259+F262</f>
        <v>671</v>
      </c>
      <c r="G263" s="186">
        <f t="shared" ref="G263:I263" si="69">G252+G256+G259+G262</f>
        <v>721.1</v>
      </c>
      <c r="H263" s="120">
        <f t="shared" si="69"/>
        <v>778.8</v>
      </c>
      <c r="I263" s="120">
        <f t="shared" si="69"/>
        <v>841</v>
      </c>
      <c r="J263" s="121"/>
      <c r="K263" s="227"/>
      <c r="L263" s="227"/>
      <c r="M263" s="227"/>
      <c r="N263" s="227"/>
      <c r="O263" s="227"/>
      <c r="P263" s="227"/>
      <c r="Q263" s="227"/>
      <c r="R263" s="220"/>
    </row>
    <row r="264" spans="1:23" s="193" customFormat="1" x14ac:dyDescent="0.2">
      <c r="A264" s="229" t="s">
        <v>26</v>
      </c>
      <c r="B264" s="122"/>
      <c r="C264" s="122"/>
      <c r="D264" s="122"/>
      <c r="E264" s="123" t="s">
        <v>276</v>
      </c>
      <c r="F264" s="124">
        <f>F263</f>
        <v>671</v>
      </c>
      <c r="G264" s="187">
        <f t="shared" ref="G264:I264" si="70">G263</f>
        <v>721.1</v>
      </c>
      <c r="H264" s="124">
        <f t="shared" si="70"/>
        <v>778.8</v>
      </c>
      <c r="I264" s="124">
        <f t="shared" si="70"/>
        <v>841</v>
      </c>
      <c r="J264" s="125"/>
      <c r="K264" s="230"/>
      <c r="L264" s="230"/>
      <c r="M264" s="230"/>
      <c r="N264" s="230"/>
      <c r="O264" s="230"/>
      <c r="P264" s="230"/>
      <c r="Q264" s="230"/>
      <c r="R264" s="220"/>
    </row>
    <row r="265" spans="1:23" s="193" customFormat="1" x14ac:dyDescent="0.2">
      <c r="A265" s="133"/>
      <c r="B265" s="133"/>
      <c r="C265" s="133"/>
      <c r="D265" s="133"/>
      <c r="E265" s="134" t="s">
        <v>277</v>
      </c>
      <c r="F265" s="135">
        <f>F195+F223+F239+F247+F264</f>
        <v>31861.848999999998</v>
      </c>
      <c r="G265" s="188">
        <f>G195+G223+G239+G247+G264</f>
        <v>35255.530999999995</v>
      </c>
      <c r="H265" s="135">
        <f>H195+H223+H239+H247+H264</f>
        <v>38071.5</v>
      </c>
      <c r="I265" s="135">
        <f>I195+I223+I239+I247+I264</f>
        <v>41116.799999999996</v>
      </c>
      <c r="J265" s="136"/>
      <c r="K265" s="183"/>
      <c r="L265" s="183"/>
      <c r="M265" s="183"/>
      <c r="N265" s="183"/>
      <c r="O265" s="183"/>
      <c r="P265" s="183"/>
      <c r="Q265" s="183"/>
      <c r="R265" s="220"/>
    </row>
    <row r="266" spans="1:23" ht="44.25" customHeight="1" x14ac:dyDescent="0.2">
      <c r="A266" s="445" t="s">
        <v>876</v>
      </c>
      <c r="B266" s="445"/>
      <c r="C266" s="445"/>
      <c r="D266" s="445"/>
      <c r="E266" s="445"/>
      <c r="F266" s="445"/>
      <c r="G266" s="445"/>
      <c r="H266" s="445"/>
      <c r="I266" s="445"/>
      <c r="J266" s="445"/>
      <c r="K266" s="445"/>
    </row>
    <row r="267" spans="1:23" ht="26.25" customHeight="1" x14ac:dyDescent="0.2">
      <c r="A267" s="444" t="s">
        <v>934</v>
      </c>
      <c r="B267" s="444"/>
      <c r="C267" s="444"/>
      <c r="D267" s="444"/>
      <c r="E267" s="444"/>
      <c r="F267" s="444"/>
      <c r="G267" s="444"/>
      <c r="H267" s="444"/>
      <c r="I267" s="444"/>
      <c r="J267" s="444"/>
      <c r="K267" s="444"/>
    </row>
    <row r="268" spans="1:23" x14ac:dyDescent="0.2">
      <c r="A268" s="1"/>
      <c r="B268" s="1"/>
    </row>
    <row r="269" spans="1:23" x14ac:dyDescent="0.2">
      <c r="A269" s="428" t="s">
        <v>4</v>
      </c>
      <c r="B269" s="428"/>
      <c r="C269" s="428"/>
      <c r="D269" s="428"/>
      <c r="E269" s="428"/>
      <c r="F269" s="428"/>
      <c r="G269" s="428"/>
      <c r="H269" s="428"/>
      <c r="I269" s="428"/>
    </row>
    <row r="270" spans="1:23" ht="27.75" customHeight="1" x14ac:dyDescent="0.2">
      <c r="A270" s="427" t="s">
        <v>13</v>
      </c>
      <c r="B270" s="427"/>
      <c r="C270" s="427"/>
      <c r="D270" s="427"/>
      <c r="E270" s="7" t="s">
        <v>14</v>
      </c>
      <c r="F270" s="112">
        <f>F27+F37+F47+F57+F67+F77+F87+F102+F117+F127+F136+F144+F152+F160+F168+F176+F184+F207+F211+F220+F231+F236+F244+F251+F255+F258+F261+F107+F92</f>
        <v>11991.999999999998</v>
      </c>
      <c r="G270" s="174">
        <f>G27+G37+G47+G57+G67+G77+G87+G102+G117+G127+G136+G144+G152+G160+G168+G176+G184+G207+G211+G220+G231+G236+G244+G251+G255+G258+G261+G107+G92</f>
        <v>12898.899999999998</v>
      </c>
      <c r="H270" s="112">
        <f>H27+H37+H47+H57+H67+H77+H87+H102+H117+H127+H136+H144+H152+H160+H168+H176+H184+H207+H211+H220+H231+H236+H244+H251+H255+H258+H261+H107+H92</f>
        <v>13930.8</v>
      </c>
      <c r="I270" s="112">
        <f>I27+I37+I47+I57+I67+I77+I87+I102+I117+I127+I136+I144+I152+I160+I168+I176+I184+I207+I211+I220+I231+I236+I244+I251+I255+I258+I261+I107+I92</f>
        <v>15044.999999999998</v>
      </c>
    </row>
    <row r="271" spans="1:23" ht="27.75" customHeight="1" x14ac:dyDescent="0.2">
      <c r="A271" s="427" t="s">
        <v>20</v>
      </c>
      <c r="B271" s="427"/>
      <c r="C271" s="427"/>
      <c r="D271" s="427"/>
      <c r="E271" s="7" t="s">
        <v>15</v>
      </c>
      <c r="F271" s="112">
        <f>F28+F38+F48+F58+F68+F78+F88+F103+F118+F128+F137+F145+F153+F161+F169+F177+F185+F201+F212+F216+F108+F93+F191+F232</f>
        <v>18172.078000000001</v>
      </c>
      <c r="G271" s="174">
        <f>G28+G38+G48+G58+G68+G78+G88+G103+G118+G128+G137+G145+G153+G161+G169+G177+G185+G201+G212+G216+G108+G93+G191+G232</f>
        <v>20593.230999999996</v>
      </c>
      <c r="H271" s="112">
        <f>H28+H38+H48+H58+H68+H78+H88+H103+H118+H128+H137+H145+H153+H161+H169+H177+H185+H201+H212+H216+H108+H93+H191+H232</f>
        <v>22236.2</v>
      </c>
      <c r="I271" s="112">
        <f>I28+I38+I48+I58+I68+I78+I88+I103+I118+I128+I137+I145+I153+I161+I169+I177+I185+I201+I212+I216+I108+I93+I191+I232</f>
        <v>24014.899999999994</v>
      </c>
    </row>
    <row r="272" spans="1:23" ht="27.75" customHeight="1" x14ac:dyDescent="0.2">
      <c r="A272" s="427" t="s">
        <v>16</v>
      </c>
      <c r="B272" s="427"/>
      <c r="C272" s="427"/>
      <c r="D272" s="427"/>
      <c r="E272" s="7" t="s">
        <v>17</v>
      </c>
      <c r="F272" s="112">
        <f>F29+F39+F49+F59+F69+F79+F89+F104+F119+F129+F138+F146+F154+F162+F170+F178+F186+F109+F94</f>
        <v>1646.3000000000002</v>
      </c>
      <c r="G272" s="174">
        <f>G29+G39+G49+G59+G69+G79+G89+G104+G119+G129+G138+G146+G154+G162+G170+G178+G186+G109+G94</f>
        <v>1763.3999999999999</v>
      </c>
      <c r="H272" s="112">
        <f>H29+H39+H49+H59+H69+H79+H89+H104+H119+H129+H138+H146+H154+H162+H170+H178+H186+H109+H94</f>
        <v>1904.5</v>
      </c>
      <c r="I272" s="112">
        <f>I29+I39+I49+I59+I69+I79+I89+I104+I119+I129+I138+I146+I154+I162+I170+I178+I186+I109+I94</f>
        <v>2056.9</v>
      </c>
    </row>
    <row r="273" spans="1:9" ht="50.25" customHeight="1" x14ac:dyDescent="0.2">
      <c r="A273" s="427" t="s">
        <v>268</v>
      </c>
      <c r="B273" s="427"/>
      <c r="C273" s="427"/>
      <c r="D273" s="427"/>
      <c r="E273" s="7" t="s">
        <v>269</v>
      </c>
      <c r="F273" s="112"/>
      <c r="G273" s="174"/>
      <c r="H273" s="112"/>
      <c r="I273" s="112"/>
    </row>
    <row r="274" spans="1:9" ht="27.75" customHeight="1" x14ac:dyDescent="0.2">
      <c r="A274" s="427" t="s">
        <v>267</v>
      </c>
      <c r="B274" s="427"/>
      <c r="C274" s="427"/>
      <c r="D274" s="427"/>
      <c r="E274" s="7" t="s">
        <v>18</v>
      </c>
      <c r="F274" s="112"/>
      <c r="G274" s="174"/>
      <c r="H274" s="112"/>
      <c r="I274" s="112"/>
    </row>
    <row r="275" spans="1:9" ht="27.75" customHeight="1" x14ac:dyDescent="0.2">
      <c r="A275" s="427" t="s">
        <v>179</v>
      </c>
      <c r="B275" s="427"/>
      <c r="C275" s="427"/>
      <c r="D275" s="427"/>
      <c r="E275" s="7" t="s">
        <v>170</v>
      </c>
      <c r="F275" s="112">
        <f>F192</f>
        <v>51.470999999999997</v>
      </c>
      <c r="G275" s="174">
        <f t="shared" ref="G275:I275" si="71">G192</f>
        <v>0</v>
      </c>
      <c r="H275" s="112">
        <f t="shared" si="71"/>
        <v>0</v>
      </c>
      <c r="I275" s="112">
        <f t="shared" si="71"/>
        <v>0</v>
      </c>
    </row>
    <row r="276" spans="1:9" x14ac:dyDescent="0.2">
      <c r="A276" s="442" t="s">
        <v>3</v>
      </c>
      <c r="B276" s="442"/>
      <c r="C276" s="442"/>
      <c r="D276" s="442"/>
      <c r="E276" s="442"/>
      <c r="F276" s="138">
        <f>SUM(F270:F275)</f>
        <v>31861.849000000002</v>
      </c>
      <c r="G276" s="192">
        <f>SUM(G270:G275)</f>
        <v>35255.530999999995</v>
      </c>
      <c r="H276" s="138">
        <f>SUM(H270:H275)</f>
        <v>38071.5</v>
      </c>
      <c r="I276" s="138">
        <f>SUM(I270:I275)</f>
        <v>41116.799999999996</v>
      </c>
    </row>
    <row r="277" spans="1:9" ht="26.25" customHeight="1" x14ac:dyDescent="0.2">
      <c r="A277" s="441" t="s">
        <v>7</v>
      </c>
      <c r="B277" s="441"/>
      <c r="C277" s="441"/>
      <c r="D277" s="441"/>
      <c r="E277" s="441"/>
      <c r="F277" s="139"/>
      <c r="G277" s="173"/>
      <c r="H277" s="139"/>
      <c r="I277" s="139"/>
    </row>
    <row r="278" spans="1:9" x14ac:dyDescent="0.2">
      <c r="A278" s="441" t="s">
        <v>5</v>
      </c>
      <c r="B278" s="441"/>
      <c r="C278" s="441"/>
      <c r="D278" s="441"/>
      <c r="E278" s="441"/>
      <c r="F278" s="139"/>
      <c r="G278" s="173"/>
      <c r="H278" s="139"/>
      <c r="I278" s="139"/>
    </row>
    <row r="279" spans="1:9" x14ac:dyDescent="0.2">
      <c r="A279" s="441" t="s">
        <v>6</v>
      </c>
      <c r="B279" s="441"/>
      <c r="C279" s="441"/>
      <c r="D279" s="441"/>
      <c r="E279" s="441"/>
      <c r="F279" s="139">
        <f>F265-F278</f>
        <v>31861.848999999998</v>
      </c>
      <c r="G279" s="173">
        <f>G265-G278</f>
        <v>35255.530999999995</v>
      </c>
      <c r="H279" s="139">
        <f>H265-H278</f>
        <v>38071.5</v>
      </c>
      <c r="I279" s="139">
        <f>I265-I278</f>
        <v>41116.799999999996</v>
      </c>
    </row>
    <row r="280" spans="1:9" x14ac:dyDescent="0.2">
      <c r="F280" s="140"/>
      <c r="G280" s="172"/>
      <c r="H280" s="97"/>
      <c r="I280" s="97"/>
    </row>
    <row r="281" spans="1:9" hidden="1" x14ac:dyDescent="0.2">
      <c r="E281" s="1" t="s">
        <v>23</v>
      </c>
      <c r="F281" s="141">
        <f>F276-F265</f>
        <v>0</v>
      </c>
      <c r="G281" s="171">
        <f>G276-G265</f>
        <v>0</v>
      </c>
      <c r="H281" s="141">
        <f>H276-H265</f>
        <v>0</v>
      </c>
      <c r="I281" s="141">
        <f>I276-I265</f>
        <v>0</v>
      </c>
    </row>
    <row r="282" spans="1:9" hidden="1" x14ac:dyDescent="0.2">
      <c r="F282" s="142">
        <f>F278+F279-F265</f>
        <v>0</v>
      </c>
      <c r="G282" s="170">
        <f>G278+G279-G265</f>
        <v>0</v>
      </c>
      <c r="H282" s="142">
        <f>H278+H279-H265</f>
        <v>0</v>
      </c>
      <c r="I282" s="142">
        <f>I278+I279-I265</f>
        <v>0</v>
      </c>
    </row>
  </sheetData>
  <dataConsolidate/>
  <mergeCells count="265">
    <mergeCell ref="S257:W257"/>
    <mergeCell ref="S260:W260"/>
    <mergeCell ref="S254:W254"/>
    <mergeCell ref="S253:W253"/>
    <mergeCell ref="S209:W209"/>
    <mergeCell ref="S229:W229"/>
    <mergeCell ref="S228:W228"/>
    <mergeCell ref="J225:J227"/>
    <mergeCell ref="S214:W214"/>
    <mergeCell ref="S218:W218"/>
    <mergeCell ref="J218:J219"/>
    <mergeCell ref="J234:J235"/>
    <mergeCell ref="E224:Q224"/>
    <mergeCell ref="E225:I227"/>
    <mergeCell ref="E228:I230"/>
    <mergeCell ref="E234:I235"/>
    <mergeCell ref="E240:Q240"/>
    <mergeCell ref="E241:I241"/>
    <mergeCell ref="E242:I243"/>
    <mergeCell ref="E249:I249"/>
    <mergeCell ref="E250:I250"/>
    <mergeCell ref="E248:Q248"/>
    <mergeCell ref="Q225:Q227"/>
    <mergeCell ref="E253:I254"/>
    <mergeCell ref="A8:P8"/>
    <mergeCell ref="R9:R10"/>
    <mergeCell ref="H9:H10"/>
    <mergeCell ref="I9:I10"/>
    <mergeCell ref="E9:E10"/>
    <mergeCell ref="G9:G10"/>
    <mergeCell ref="F9:F10"/>
    <mergeCell ref="Q9:Q10"/>
    <mergeCell ref="J61:J66"/>
    <mergeCell ref="J21:J26"/>
    <mergeCell ref="J31:J36"/>
    <mergeCell ref="J41:J46"/>
    <mergeCell ref="C61:C70"/>
    <mergeCell ref="D31:D40"/>
    <mergeCell ref="A61:A70"/>
    <mergeCell ref="B61:B70"/>
    <mergeCell ref="C31:C40"/>
    <mergeCell ref="C41:C50"/>
    <mergeCell ref="C51:C60"/>
    <mergeCell ref="D41:D50"/>
    <mergeCell ref="D61:D70"/>
    <mergeCell ref="N9:P9"/>
    <mergeCell ref="A9:C9"/>
    <mergeCell ref="D9:D10"/>
    <mergeCell ref="J180:J183"/>
    <mergeCell ref="J121:J126"/>
    <mergeCell ref="C71:C80"/>
    <mergeCell ref="C81:C90"/>
    <mergeCell ref="C96:C105"/>
    <mergeCell ref="C111:C120"/>
    <mergeCell ref="C121:C130"/>
    <mergeCell ref="C131:C139"/>
    <mergeCell ref="C140:C147"/>
    <mergeCell ref="A106:A110"/>
    <mergeCell ref="D106:D110"/>
    <mergeCell ref="A71:A80"/>
    <mergeCell ref="B71:B80"/>
    <mergeCell ref="E71:I76"/>
    <mergeCell ref="E81:I86"/>
    <mergeCell ref="E96:I101"/>
    <mergeCell ref="D96:D105"/>
    <mergeCell ref="E12:Q12"/>
    <mergeCell ref="C21:C30"/>
    <mergeCell ref="D21:D30"/>
    <mergeCell ref="E61:I66"/>
    <mergeCell ref="Q13:Q20"/>
    <mergeCell ref="J13:J20"/>
    <mergeCell ref="E13:I20"/>
    <mergeCell ref="A13:A20"/>
    <mergeCell ref="B13:B20"/>
    <mergeCell ref="C13:C20"/>
    <mergeCell ref="D13:D20"/>
    <mergeCell ref="A271:D271"/>
    <mergeCell ref="L9:M9"/>
    <mergeCell ref="J9:J10"/>
    <mergeCell ref="K9:K10"/>
    <mergeCell ref="J51:J56"/>
    <mergeCell ref="J172:J175"/>
    <mergeCell ref="J111:J116"/>
    <mergeCell ref="J71:J76"/>
    <mergeCell ref="J96:J101"/>
    <mergeCell ref="J81:J86"/>
    <mergeCell ref="A21:A30"/>
    <mergeCell ref="B21:B30"/>
    <mergeCell ref="E148:I151"/>
    <mergeCell ref="E156:I159"/>
    <mergeCell ref="E164:I167"/>
    <mergeCell ref="E172:I175"/>
    <mergeCell ref="D111:D120"/>
    <mergeCell ref="E180:I183"/>
    <mergeCell ref="E121:I126"/>
    <mergeCell ref="E131:I135"/>
    <mergeCell ref="E140:I143"/>
    <mergeCell ref="A111:A120"/>
    <mergeCell ref="A121:A130"/>
    <mergeCell ref="A91:A95"/>
    <mergeCell ref="C253:C256"/>
    <mergeCell ref="D253:D256"/>
    <mergeCell ref="A266:K266"/>
    <mergeCell ref="E257:I257"/>
    <mergeCell ref="E260:I260"/>
    <mergeCell ref="D242:D245"/>
    <mergeCell ref="A234:A237"/>
    <mergeCell ref="A270:D270"/>
    <mergeCell ref="J242:J243"/>
    <mergeCell ref="S131:W131"/>
    <mergeCell ref="S164:W164"/>
    <mergeCell ref="S140:W140"/>
    <mergeCell ref="S172:W172"/>
    <mergeCell ref="J164:J167"/>
    <mergeCell ref="J148:J151"/>
    <mergeCell ref="S148:W148"/>
    <mergeCell ref="J140:J143"/>
    <mergeCell ref="A279:E279"/>
    <mergeCell ref="A276:E276"/>
    <mergeCell ref="A277:E277"/>
    <mergeCell ref="A278:E278"/>
    <mergeCell ref="B204:B205"/>
    <mergeCell ref="J204:J205"/>
    <mergeCell ref="J209:J210"/>
    <mergeCell ref="A267:K267"/>
    <mergeCell ref="J253:J254"/>
    <mergeCell ref="A272:D272"/>
    <mergeCell ref="A273:D273"/>
    <mergeCell ref="A250:A252"/>
    <mergeCell ref="B250:B252"/>
    <mergeCell ref="C250:C252"/>
    <mergeCell ref="D250:D252"/>
    <mergeCell ref="A253:A256"/>
    <mergeCell ref="S181:U181"/>
    <mergeCell ref="S180:W180"/>
    <mergeCell ref="E106:I106"/>
    <mergeCell ref="C148:C155"/>
    <mergeCell ref="C156:C163"/>
    <mergeCell ref="C164:C171"/>
    <mergeCell ref="C172:C179"/>
    <mergeCell ref="C106:C110"/>
    <mergeCell ref="C180:C187"/>
    <mergeCell ref="D180:D187"/>
    <mergeCell ref="D172:D179"/>
    <mergeCell ref="D164:D171"/>
    <mergeCell ref="D156:D163"/>
    <mergeCell ref="D148:D155"/>
    <mergeCell ref="E111:I116"/>
    <mergeCell ref="D140:D147"/>
    <mergeCell ref="D131:D139"/>
    <mergeCell ref="D121:D130"/>
    <mergeCell ref="S149:U149"/>
    <mergeCell ref="S157:U157"/>
    <mergeCell ref="S165:U165"/>
    <mergeCell ref="S173:U173"/>
    <mergeCell ref="J156:J159"/>
    <mergeCell ref="S156:W156"/>
    <mergeCell ref="A180:A187"/>
    <mergeCell ref="S112:U112"/>
    <mergeCell ref="S141:U141"/>
    <mergeCell ref="A31:A40"/>
    <mergeCell ref="B31:B40"/>
    <mergeCell ref="B41:B50"/>
    <mergeCell ref="A41:A50"/>
    <mergeCell ref="A51:A60"/>
    <mergeCell ref="B51:B60"/>
    <mergeCell ref="A81:A90"/>
    <mergeCell ref="B81:B90"/>
    <mergeCell ref="A96:A105"/>
    <mergeCell ref="B96:B105"/>
    <mergeCell ref="B148:B155"/>
    <mergeCell ref="B156:B163"/>
    <mergeCell ref="B164:B171"/>
    <mergeCell ref="B172:B179"/>
    <mergeCell ref="B180:B187"/>
    <mergeCell ref="A172:A179"/>
    <mergeCell ref="A131:A139"/>
    <mergeCell ref="A140:A147"/>
    <mergeCell ref="A148:A155"/>
    <mergeCell ref="A156:A163"/>
    <mergeCell ref="A164:A171"/>
    <mergeCell ref="J214:J215"/>
    <mergeCell ref="J198:J200"/>
    <mergeCell ref="B225:B227"/>
    <mergeCell ref="J228:J230"/>
    <mergeCell ref="C228:C233"/>
    <mergeCell ref="D225:D227"/>
    <mergeCell ref="D228:D233"/>
    <mergeCell ref="E21:I26"/>
    <mergeCell ref="E31:I36"/>
    <mergeCell ref="E41:I46"/>
    <mergeCell ref="E51:I56"/>
    <mergeCell ref="D51:D60"/>
    <mergeCell ref="D81:D90"/>
    <mergeCell ref="D71:D80"/>
    <mergeCell ref="B121:B130"/>
    <mergeCell ref="B106:B110"/>
    <mergeCell ref="B131:B139"/>
    <mergeCell ref="B140:B147"/>
    <mergeCell ref="B111:B120"/>
    <mergeCell ref="J131:J135"/>
    <mergeCell ref="B91:B95"/>
    <mergeCell ref="C91:C95"/>
    <mergeCell ref="D91:D95"/>
    <mergeCell ref="E91:I91"/>
    <mergeCell ref="E189:I189"/>
    <mergeCell ref="A190:A193"/>
    <mergeCell ref="B190:B193"/>
    <mergeCell ref="C190:C193"/>
    <mergeCell ref="D190:D193"/>
    <mergeCell ref="E190:I190"/>
    <mergeCell ref="E196:Q196"/>
    <mergeCell ref="E197:I197"/>
    <mergeCell ref="E204:I205"/>
    <mergeCell ref="B198:B202"/>
    <mergeCell ref="Q204:Q205"/>
    <mergeCell ref="D198:D202"/>
    <mergeCell ref="A204:A205"/>
    <mergeCell ref="C204:C205"/>
    <mergeCell ref="D204:D205"/>
    <mergeCell ref="E198:I200"/>
    <mergeCell ref="A198:A202"/>
    <mergeCell ref="C198:C202"/>
    <mergeCell ref="A275:D275"/>
    <mergeCell ref="A218:A221"/>
    <mergeCell ref="B218:B221"/>
    <mergeCell ref="C218:C221"/>
    <mergeCell ref="D218:D221"/>
    <mergeCell ref="A260:A262"/>
    <mergeCell ref="B260:B262"/>
    <mergeCell ref="C260:C262"/>
    <mergeCell ref="D260:D262"/>
    <mergeCell ref="A269:I269"/>
    <mergeCell ref="A274:D274"/>
    <mergeCell ref="A242:A245"/>
    <mergeCell ref="A257:A259"/>
    <mergeCell ref="B257:B259"/>
    <mergeCell ref="C257:C259"/>
    <mergeCell ref="D257:D259"/>
    <mergeCell ref="A225:A227"/>
    <mergeCell ref="C225:C227"/>
    <mergeCell ref="A228:A233"/>
    <mergeCell ref="B228:B233"/>
    <mergeCell ref="B234:B237"/>
    <mergeCell ref="C242:C245"/>
    <mergeCell ref="E218:I219"/>
    <mergeCell ref="B253:B256"/>
    <mergeCell ref="E214:I215"/>
    <mergeCell ref="A214:A217"/>
    <mergeCell ref="C214:C217"/>
    <mergeCell ref="D214:D217"/>
    <mergeCell ref="B214:B217"/>
    <mergeCell ref="B242:B245"/>
    <mergeCell ref="C234:C237"/>
    <mergeCell ref="D234:D237"/>
    <mergeCell ref="A206:A208"/>
    <mergeCell ref="B206:B208"/>
    <mergeCell ref="C206:C208"/>
    <mergeCell ref="D206:D208"/>
    <mergeCell ref="A209:A213"/>
    <mergeCell ref="B209:B213"/>
    <mergeCell ref="C209:C213"/>
    <mergeCell ref="D209:D213"/>
    <mergeCell ref="E206:I206"/>
    <mergeCell ref="E209:I210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10" fitToWidth="0" fitToHeight="0" orientation="landscape" r:id="rId1"/>
  <rowBreaks count="7" manualBreakCount="7">
    <brk id="30" max="16" man="1"/>
    <brk id="60" max="16" man="1"/>
    <brk id="110" max="16" man="1"/>
    <brk id="139" max="16" man="1"/>
    <brk id="195" max="16" man="1"/>
    <brk id="223" max="16" man="1"/>
    <brk id="26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zoomScaleNormal="100" zoomScaleSheetLayoutView="100" workbookViewId="0">
      <pane ySplit="11" topLeftCell="A74" activePane="bottomLeft" state="frozen"/>
      <selection pane="bottomLeft" activeCell="K83" sqref="K83"/>
    </sheetView>
  </sheetViews>
  <sheetFormatPr defaultColWidth="9.140625" defaultRowHeight="12.75" x14ac:dyDescent="0.2"/>
  <cols>
    <col min="1" max="2" width="5" style="11" customWidth="1"/>
    <col min="3" max="4" width="5" style="9" customWidth="1"/>
    <col min="5" max="5" width="17.7109375" style="9" customWidth="1"/>
    <col min="6" max="6" width="13" style="9" customWidth="1"/>
    <col min="7" max="7" width="13" style="10" customWidth="1"/>
    <col min="8" max="9" width="13" style="9" customWidth="1"/>
    <col min="10" max="11" width="24.7109375" style="9" customWidth="1"/>
    <col min="12" max="12" width="49.7109375" style="9" customWidth="1"/>
    <col min="13" max="16" width="6.28515625" style="9" customWidth="1"/>
    <col min="17" max="17" width="32.7109375" style="9" customWidth="1"/>
    <col min="18" max="18" width="11.7109375" style="9" hidden="1" customWidth="1"/>
    <col min="19" max="19" width="10" style="9" customWidth="1"/>
    <col min="20" max="20" width="46.7109375" style="9" bestFit="1" customWidth="1"/>
    <col min="21" max="16384" width="9.140625" style="9"/>
  </cols>
  <sheetData>
    <row r="1" spans="1:19" x14ac:dyDescent="0.2">
      <c r="Q1" s="9" t="str">
        <f>'001'!Q1</f>
        <v>PATVIRTINTA</v>
      </c>
    </row>
    <row r="2" spans="1:19" x14ac:dyDescent="0.2">
      <c r="Q2" s="9" t="str">
        <f>'001'!Q2</f>
        <v>Plungės rajono savivaldybės tarybos</v>
      </c>
    </row>
    <row r="3" spans="1:19" x14ac:dyDescent="0.2">
      <c r="Q3" s="9" t="str">
        <f>'001'!Q3</f>
        <v>2025 m. vasario 13 d. sprendimu Nr.T1-</v>
      </c>
    </row>
    <row r="4" spans="1:19" x14ac:dyDescent="0.2">
      <c r="Q4" s="9" t="str">
        <f>'001'!Q4</f>
        <v xml:space="preserve">Plungės rajono savivaldybės </v>
      </c>
    </row>
    <row r="5" spans="1:19" x14ac:dyDescent="0.2">
      <c r="G5" s="52"/>
      <c r="H5" s="52"/>
      <c r="I5" s="52"/>
      <c r="Q5" s="9" t="str">
        <f>'001'!Q5</f>
        <v>2025–2027 metų  strateginio veiklos plano</v>
      </c>
    </row>
    <row r="6" spans="1:19" x14ac:dyDescent="0.2">
      <c r="G6" s="52"/>
      <c r="H6" s="52"/>
      <c r="I6" s="52"/>
      <c r="Q6" s="52" t="s">
        <v>345</v>
      </c>
    </row>
    <row r="7" spans="1:19" x14ac:dyDescent="0.2">
      <c r="G7" s="51"/>
      <c r="H7" s="51"/>
      <c r="I7" s="51"/>
      <c r="J7" s="51"/>
    </row>
    <row r="8" spans="1:19" x14ac:dyDescent="0.2">
      <c r="A8" s="496" t="s">
        <v>832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69" t="s">
        <v>284</v>
      </c>
      <c r="R8" s="68"/>
    </row>
    <row r="9" spans="1:19" ht="26.25" customHeight="1" x14ac:dyDescent="0.2">
      <c r="A9" s="448" t="str">
        <f>'001'!A9:R11</f>
        <v>Kodas</v>
      </c>
      <c r="B9" s="448"/>
      <c r="C9" s="448"/>
      <c r="D9" s="473" t="str">
        <f>'001'!D9:D10</f>
        <v>Uždavinio/ priemonės požymis *</v>
      </c>
      <c r="E9" s="448" t="str">
        <f>'001'!E9:E10</f>
        <v>Programos tikslo/uždavinio/priemonės pavadinimas ir finansavimo šaltiniai</v>
      </c>
      <c r="F9" s="448" t="str">
        <f>'001'!F9:F10</f>
        <v>2024-ųjų m. asignavimai ir kitos lėšos (2024-12-31 datai)</v>
      </c>
      <c r="G9" s="472" t="str">
        <f>'001'!G9:G10</f>
        <v>2025-ųjų m. asignavimai ir kitos lėšos</v>
      </c>
      <c r="H9" s="448" t="str">
        <f>'001'!H9:H10</f>
        <v>Planuojami   2026-ųjų m. asignavimai ir kitos lėšos</v>
      </c>
      <c r="I9" s="448" t="str">
        <f>'001'!I9:I10</f>
        <v>Planuojami  2027-ųjų m. asignavimai ir kitos lėšos</v>
      </c>
      <c r="J9" s="448" t="str">
        <f>'001'!J9:J10</f>
        <v>Savivaldybės strateginio plėtros plano tikslo/uždavinio kodas**</v>
      </c>
      <c r="K9" s="448" t="str">
        <f>'001'!K9:K10</f>
        <v>Stebėsenos rodiklio kodas</v>
      </c>
      <c r="L9" s="447" t="str">
        <f>'001'!L9:M9</f>
        <v>Stebėsenos rodiklio</v>
      </c>
      <c r="M9" s="447"/>
      <c r="N9" s="447" t="str">
        <f>'001'!N9:P9</f>
        <v>Siektinos stebėsenos rodiklių reikšmės</v>
      </c>
      <c r="O9" s="447"/>
      <c r="P9" s="447"/>
      <c r="Q9" s="447" t="str">
        <f>'001'!Q9:Q10</f>
        <v>Savivaldybės strateginio plėtros plano rodiklio kodas**</v>
      </c>
      <c r="R9" s="471" t="str">
        <f>'001'!R9:R10</f>
        <v>Asignavimų skirtumas (2024 m.- 2025 m.)</v>
      </c>
    </row>
    <row r="10" spans="1:19" ht="83.25" customHeight="1" x14ac:dyDescent="0.2">
      <c r="A10" s="71" t="str">
        <f>'001'!A10</f>
        <v>tikslo</v>
      </c>
      <c r="B10" s="71" t="str">
        <f>'001'!B10</f>
        <v>uždavinio</v>
      </c>
      <c r="C10" s="71" t="str">
        <f>'001'!C10</f>
        <v>priemonės</v>
      </c>
      <c r="D10" s="473"/>
      <c r="E10" s="448"/>
      <c r="F10" s="448"/>
      <c r="G10" s="472"/>
      <c r="H10" s="448"/>
      <c r="I10" s="448"/>
      <c r="J10" s="448"/>
      <c r="K10" s="448"/>
      <c r="L10" s="76" t="str">
        <f>'001'!L10</f>
        <v>pavadinimas</v>
      </c>
      <c r="M10" s="76" t="str">
        <f>'001'!M10</f>
        <v>mato vnt.</v>
      </c>
      <c r="N10" s="76">
        <f>'001'!N10</f>
        <v>2025</v>
      </c>
      <c r="O10" s="76">
        <f>'001'!O10</f>
        <v>2026</v>
      </c>
      <c r="P10" s="76">
        <f>'001'!P10</f>
        <v>2027</v>
      </c>
      <c r="Q10" s="447"/>
      <c r="R10" s="471"/>
    </row>
    <row r="11" spans="1:19" x14ac:dyDescent="0.2">
      <c r="A11" s="49">
        <f>'001'!A11</f>
        <v>1</v>
      </c>
      <c r="B11" s="49">
        <f>'001'!B11</f>
        <v>2</v>
      </c>
      <c r="C11" s="49">
        <f>'001'!C11</f>
        <v>3</v>
      </c>
      <c r="D11" s="49">
        <f>'001'!D11</f>
        <v>4</v>
      </c>
      <c r="E11" s="49">
        <f>'001'!E11</f>
        <v>5</v>
      </c>
      <c r="F11" s="49">
        <f>'001'!F11</f>
        <v>6</v>
      </c>
      <c r="G11" s="50">
        <f>'001'!G11</f>
        <v>7</v>
      </c>
      <c r="H11" s="49">
        <f>'001'!H11</f>
        <v>8</v>
      </c>
      <c r="I11" s="49">
        <f>'001'!I11</f>
        <v>9</v>
      </c>
      <c r="J11" s="49">
        <f>'001'!J11</f>
        <v>10</v>
      </c>
      <c r="K11" s="49">
        <f>'001'!K11</f>
        <v>11</v>
      </c>
      <c r="L11" s="49">
        <f>'001'!L11</f>
        <v>12</v>
      </c>
      <c r="M11" s="49">
        <f>'001'!M11</f>
        <v>13</v>
      </c>
      <c r="N11" s="49">
        <f>'001'!N11</f>
        <v>14</v>
      </c>
      <c r="O11" s="49">
        <f>'001'!O11</f>
        <v>15</v>
      </c>
      <c r="P11" s="49">
        <f>'001'!P11</f>
        <v>16</v>
      </c>
      <c r="Q11" s="49">
        <f>'001'!Q11</f>
        <v>17</v>
      </c>
      <c r="R11" s="49">
        <f>'001'!R11</f>
        <v>18</v>
      </c>
    </row>
    <row r="12" spans="1:19" s="196" customFormat="1" x14ac:dyDescent="0.2">
      <c r="A12" s="270" t="s">
        <v>0</v>
      </c>
      <c r="B12" s="48"/>
      <c r="C12" s="48"/>
      <c r="D12" s="48"/>
      <c r="E12" s="497" t="s">
        <v>939</v>
      </c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7"/>
      <c r="R12" s="195"/>
    </row>
    <row r="13" spans="1:19" s="196" customFormat="1" ht="63.75" x14ac:dyDescent="0.2">
      <c r="A13" s="270" t="s">
        <v>0</v>
      </c>
      <c r="B13" s="280" t="s">
        <v>0</v>
      </c>
      <c r="C13" s="279"/>
      <c r="D13" s="279" t="s">
        <v>343</v>
      </c>
      <c r="E13" s="487" t="s">
        <v>342</v>
      </c>
      <c r="F13" s="487"/>
      <c r="G13" s="487"/>
      <c r="H13" s="487"/>
      <c r="I13" s="487"/>
      <c r="J13" s="82" t="s">
        <v>341</v>
      </c>
      <c r="K13" s="197" t="s">
        <v>340</v>
      </c>
      <c r="L13" s="197" t="s">
        <v>339</v>
      </c>
      <c r="M13" s="198" t="s">
        <v>11</v>
      </c>
      <c r="N13" s="198">
        <v>58</v>
      </c>
      <c r="O13" s="198">
        <v>75</v>
      </c>
      <c r="P13" s="198">
        <v>70</v>
      </c>
      <c r="Q13" s="198" t="s">
        <v>338</v>
      </c>
      <c r="R13" s="195"/>
      <c r="S13" s="199"/>
    </row>
    <row r="14" spans="1:19" s="196" customFormat="1" ht="13.5" x14ac:dyDescent="0.2">
      <c r="A14" s="484" t="s">
        <v>0</v>
      </c>
      <c r="B14" s="500" t="s">
        <v>0</v>
      </c>
      <c r="C14" s="480" t="s">
        <v>0</v>
      </c>
      <c r="D14" s="493" t="s">
        <v>21</v>
      </c>
      <c r="E14" s="501" t="s">
        <v>337</v>
      </c>
      <c r="F14" s="501"/>
      <c r="G14" s="501"/>
      <c r="H14" s="501"/>
      <c r="I14" s="501"/>
      <c r="J14" s="274" t="s">
        <v>19</v>
      </c>
      <c r="K14" s="200" t="s">
        <v>336</v>
      </c>
      <c r="L14" s="200" t="s">
        <v>335</v>
      </c>
      <c r="M14" s="271" t="s">
        <v>12</v>
      </c>
      <c r="N14" s="201">
        <v>6</v>
      </c>
      <c r="O14" s="201">
        <v>7</v>
      </c>
      <c r="P14" s="201">
        <v>4</v>
      </c>
      <c r="Q14" s="278" t="s">
        <v>19</v>
      </c>
      <c r="R14" s="195"/>
      <c r="S14" s="199"/>
    </row>
    <row r="15" spans="1:19" s="196" customFormat="1" x14ac:dyDescent="0.2">
      <c r="A15" s="484"/>
      <c r="B15" s="500"/>
      <c r="C15" s="480"/>
      <c r="D15" s="493"/>
      <c r="E15" s="271" t="s">
        <v>14</v>
      </c>
      <c r="F15" s="31">
        <v>42.2</v>
      </c>
      <c r="G15" s="32">
        <v>60</v>
      </c>
      <c r="H15" s="106">
        <v>60</v>
      </c>
      <c r="I15" s="106">
        <v>55</v>
      </c>
      <c r="J15" s="202"/>
      <c r="K15" s="202"/>
      <c r="L15" s="203"/>
      <c r="M15" s="204"/>
      <c r="N15" s="25"/>
      <c r="O15" s="25"/>
      <c r="P15" s="204"/>
      <c r="Q15" s="205"/>
      <c r="R15" s="195"/>
    </row>
    <row r="16" spans="1:19" s="196" customFormat="1" x14ac:dyDescent="0.2">
      <c r="A16" s="484"/>
      <c r="B16" s="500"/>
      <c r="C16" s="480"/>
      <c r="D16" s="493"/>
      <c r="E16" s="30" t="s">
        <v>22</v>
      </c>
      <c r="F16" s="17">
        <f>SUM(F15)</f>
        <v>42.2</v>
      </c>
      <c r="G16" s="29">
        <f>SUM(G15)</f>
        <v>60</v>
      </c>
      <c r="H16" s="17">
        <f>SUM(H15)</f>
        <v>60</v>
      </c>
      <c r="I16" s="17">
        <f>SUM(I15)</f>
        <v>55</v>
      </c>
      <c r="J16" s="202"/>
      <c r="K16" s="202"/>
      <c r="L16" s="203"/>
      <c r="M16" s="204"/>
      <c r="N16" s="25"/>
      <c r="O16" s="25"/>
      <c r="P16" s="204"/>
      <c r="Q16" s="205"/>
      <c r="R16" s="43">
        <f>(G16-F16)/F16</f>
        <v>0.42180094786729849</v>
      </c>
    </row>
    <row r="17" spans="1:19" s="196" customFormat="1" ht="25.5" x14ac:dyDescent="0.2">
      <c r="A17" s="484" t="s">
        <v>0</v>
      </c>
      <c r="B17" s="485" t="s">
        <v>0</v>
      </c>
      <c r="C17" s="479" t="s">
        <v>10</v>
      </c>
      <c r="D17" s="493" t="s">
        <v>905</v>
      </c>
      <c r="E17" s="481" t="s">
        <v>906</v>
      </c>
      <c r="F17" s="481"/>
      <c r="G17" s="481"/>
      <c r="H17" s="481"/>
      <c r="I17" s="481"/>
      <c r="J17" s="271" t="s">
        <v>949</v>
      </c>
      <c r="K17" s="200" t="s">
        <v>334</v>
      </c>
      <c r="L17" s="200" t="s">
        <v>907</v>
      </c>
      <c r="M17" s="278" t="s">
        <v>12</v>
      </c>
      <c r="N17" s="206">
        <v>2</v>
      </c>
      <c r="O17" s="206">
        <v>1</v>
      </c>
      <c r="P17" s="206">
        <v>0</v>
      </c>
      <c r="Q17" s="206" t="s">
        <v>948</v>
      </c>
      <c r="R17" s="195"/>
    </row>
    <row r="18" spans="1:19" s="196" customFormat="1" x14ac:dyDescent="0.2">
      <c r="A18" s="484"/>
      <c r="B18" s="485"/>
      <c r="C18" s="479"/>
      <c r="D18" s="493"/>
      <c r="E18" s="281" t="s">
        <v>14</v>
      </c>
      <c r="F18" s="31">
        <v>42</v>
      </c>
      <c r="G18" s="32">
        <v>25.4</v>
      </c>
      <c r="H18" s="31"/>
      <c r="I18" s="31"/>
      <c r="J18" s="202"/>
      <c r="K18" s="202"/>
      <c r="L18" s="207"/>
      <c r="M18" s="207"/>
      <c r="N18" s="25"/>
      <c r="O18" s="25"/>
      <c r="P18" s="207"/>
      <c r="Q18" s="207"/>
      <c r="R18" s="195"/>
    </row>
    <row r="19" spans="1:19" s="196" customFormat="1" x14ac:dyDescent="0.2">
      <c r="A19" s="484"/>
      <c r="B19" s="485"/>
      <c r="C19" s="479"/>
      <c r="D19" s="493"/>
      <c r="E19" s="281" t="s">
        <v>17</v>
      </c>
      <c r="F19" s="31">
        <v>105.2</v>
      </c>
      <c r="G19" s="32"/>
      <c r="H19" s="31"/>
      <c r="I19" s="31"/>
      <c r="J19" s="202"/>
      <c r="K19" s="202"/>
      <c r="L19" s="207"/>
      <c r="M19" s="207"/>
      <c r="N19" s="25"/>
      <c r="O19" s="25"/>
      <c r="P19" s="207"/>
      <c r="Q19" s="207"/>
      <c r="R19" s="195"/>
    </row>
    <row r="20" spans="1:19" s="196" customFormat="1" x14ac:dyDescent="0.2">
      <c r="A20" s="484"/>
      <c r="B20" s="485"/>
      <c r="C20" s="479"/>
      <c r="D20" s="493"/>
      <c r="E20" s="281" t="s">
        <v>170</v>
      </c>
      <c r="F20" s="31">
        <v>261.3</v>
      </c>
      <c r="G20" s="47">
        <f>195+45.5</f>
        <v>240.5</v>
      </c>
      <c r="H20" s="31">
        <v>195</v>
      </c>
      <c r="I20" s="31"/>
      <c r="J20" s="202"/>
      <c r="K20" s="202"/>
      <c r="L20" s="207"/>
      <c r="M20" s="207"/>
      <c r="N20" s="25"/>
      <c r="O20" s="25"/>
      <c r="P20" s="207"/>
      <c r="Q20" s="207"/>
      <c r="R20" s="195"/>
    </row>
    <row r="21" spans="1:19" s="196" customFormat="1" x14ac:dyDescent="0.2">
      <c r="A21" s="484"/>
      <c r="B21" s="485"/>
      <c r="C21" s="479"/>
      <c r="D21" s="493"/>
      <c r="E21" s="30" t="s">
        <v>22</v>
      </c>
      <c r="F21" s="17">
        <f>SUM(F18:F20)</f>
        <v>408.5</v>
      </c>
      <c r="G21" s="29">
        <f>SUM(G18:G20)</f>
        <v>265.89999999999998</v>
      </c>
      <c r="H21" s="17">
        <f>SUM(H18:H20)</f>
        <v>195</v>
      </c>
      <c r="I21" s="17">
        <f>SUM(I18:I20)</f>
        <v>0</v>
      </c>
      <c r="J21" s="208"/>
      <c r="K21" s="208"/>
      <c r="L21" s="207"/>
      <c r="M21" s="207"/>
      <c r="N21" s="25"/>
      <c r="O21" s="25"/>
      <c r="P21" s="207"/>
      <c r="Q21" s="207"/>
      <c r="R21" s="43">
        <f>(G21-F21)/F21</f>
        <v>-0.34908200734394129</v>
      </c>
    </row>
    <row r="22" spans="1:19" s="196" customFormat="1" ht="12.75" customHeight="1" x14ac:dyDescent="0.2">
      <c r="A22" s="484" t="s">
        <v>0</v>
      </c>
      <c r="B22" s="485" t="s">
        <v>0</v>
      </c>
      <c r="C22" s="479" t="s">
        <v>24</v>
      </c>
      <c r="D22" s="493" t="s">
        <v>333</v>
      </c>
      <c r="E22" s="481" t="s">
        <v>902</v>
      </c>
      <c r="F22" s="481"/>
      <c r="G22" s="481"/>
      <c r="H22" s="481"/>
      <c r="I22" s="481"/>
      <c r="J22" s="494" t="s">
        <v>951</v>
      </c>
      <c r="K22" s="200" t="s">
        <v>1014</v>
      </c>
      <c r="L22" s="200" t="s">
        <v>900</v>
      </c>
      <c r="M22" s="278" t="s">
        <v>12</v>
      </c>
      <c r="N22" s="278">
        <v>3</v>
      </c>
      <c r="O22" s="278">
        <v>0</v>
      </c>
      <c r="P22" s="278">
        <v>0</v>
      </c>
      <c r="Q22" s="491" t="s">
        <v>950</v>
      </c>
      <c r="R22" s="195"/>
    </row>
    <row r="23" spans="1:19" s="196" customFormat="1" ht="25.5" x14ac:dyDescent="0.2">
      <c r="A23" s="484"/>
      <c r="B23" s="485"/>
      <c r="C23" s="479"/>
      <c r="D23" s="493"/>
      <c r="E23" s="481"/>
      <c r="F23" s="481"/>
      <c r="G23" s="481"/>
      <c r="H23" s="481"/>
      <c r="I23" s="481"/>
      <c r="J23" s="495"/>
      <c r="K23" s="200" t="s">
        <v>1015</v>
      </c>
      <c r="L23" s="200" t="s">
        <v>901</v>
      </c>
      <c r="M23" s="278" t="s">
        <v>12</v>
      </c>
      <c r="N23" s="278">
        <v>1</v>
      </c>
      <c r="O23" s="278">
        <v>0</v>
      </c>
      <c r="P23" s="278">
        <v>0</v>
      </c>
      <c r="Q23" s="492"/>
      <c r="R23" s="195"/>
    </row>
    <row r="24" spans="1:19" s="196" customFormat="1" x14ac:dyDescent="0.2">
      <c r="A24" s="484"/>
      <c r="B24" s="485"/>
      <c r="C24" s="479"/>
      <c r="D24" s="493"/>
      <c r="E24" s="277" t="s">
        <v>14</v>
      </c>
      <c r="F24" s="31">
        <v>295</v>
      </c>
      <c r="G24" s="32">
        <v>65.3</v>
      </c>
      <c r="H24" s="31">
        <v>500</v>
      </c>
      <c r="I24" s="31"/>
      <c r="J24" s="209"/>
      <c r="K24" s="209"/>
      <c r="L24" s="210"/>
      <c r="M24" s="205"/>
      <c r="N24" s="25"/>
      <c r="O24" s="25"/>
      <c r="P24" s="205"/>
      <c r="Q24" s="205"/>
      <c r="R24" s="195"/>
    </row>
    <row r="25" spans="1:19" s="196" customFormat="1" x14ac:dyDescent="0.2">
      <c r="A25" s="484"/>
      <c r="B25" s="485"/>
      <c r="C25" s="479"/>
      <c r="D25" s="493"/>
      <c r="E25" s="277" t="s">
        <v>332</v>
      </c>
      <c r="F25" s="31">
        <v>1950</v>
      </c>
      <c r="G25" s="32"/>
      <c r="H25" s="31"/>
      <c r="I25" s="31"/>
      <c r="J25" s="209"/>
      <c r="K25" s="209"/>
      <c r="L25" s="210"/>
      <c r="M25" s="205"/>
      <c r="N25" s="25"/>
      <c r="O25" s="25"/>
      <c r="P25" s="205"/>
      <c r="Q25" s="205"/>
      <c r="R25" s="195"/>
    </row>
    <row r="26" spans="1:19" s="196" customFormat="1" x14ac:dyDescent="0.2">
      <c r="A26" s="484"/>
      <c r="B26" s="485"/>
      <c r="C26" s="479"/>
      <c r="D26" s="493"/>
      <c r="E26" s="277" t="s">
        <v>18</v>
      </c>
      <c r="F26" s="31">
        <v>1200.8</v>
      </c>
      <c r="G26" s="32">
        <v>2200</v>
      </c>
      <c r="H26" s="31"/>
      <c r="I26" s="31"/>
      <c r="J26" s="209"/>
      <c r="K26" s="209"/>
      <c r="L26" s="210"/>
      <c r="M26" s="205"/>
      <c r="N26" s="25"/>
      <c r="O26" s="25"/>
      <c r="P26" s="205"/>
      <c r="Q26" s="205"/>
      <c r="R26" s="195"/>
    </row>
    <row r="27" spans="1:19" s="196" customFormat="1" x14ac:dyDescent="0.2">
      <c r="A27" s="484"/>
      <c r="B27" s="485"/>
      <c r="C27" s="479"/>
      <c r="D27" s="493"/>
      <c r="E27" s="30" t="s">
        <v>22</v>
      </c>
      <c r="F27" s="17">
        <f>SUM(F24:F26)</f>
        <v>3445.8</v>
      </c>
      <c r="G27" s="29">
        <f>SUM(G24:G26)</f>
        <v>2265.3000000000002</v>
      </c>
      <c r="H27" s="17">
        <f>SUM(H24:H26)</f>
        <v>500</v>
      </c>
      <c r="I27" s="17">
        <f>SUM(I24:I26)</f>
        <v>0</v>
      </c>
      <c r="J27" s="209"/>
      <c r="K27" s="209"/>
      <c r="L27" s="210"/>
      <c r="M27" s="205"/>
      <c r="N27" s="25"/>
      <c r="O27" s="25"/>
      <c r="P27" s="205"/>
      <c r="Q27" s="205"/>
      <c r="R27" s="43">
        <f>(G27-F27)/F27</f>
        <v>-0.34259098032387253</v>
      </c>
    </row>
    <row r="28" spans="1:19" s="196" customFormat="1" ht="63.75" x14ac:dyDescent="0.2">
      <c r="A28" s="484" t="s">
        <v>0</v>
      </c>
      <c r="B28" s="485" t="s">
        <v>0</v>
      </c>
      <c r="C28" s="479" t="s">
        <v>25</v>
      </c>
      <c r="D28" s="493" t="s">
        <v>331</v>
      </c>
      <c r="E28" s="481" t="s">
        <v>330</v>
      </c>
      <c r="F28" s="481"/>
      <c r="G28" s="481"/>
      <c r="H28" s="481"/>
      <c r="I28" s="481"/>
      <c r="J28" s="269" t="s">
        <v>964</v>
      </c>
      <c r="K28" s="200" t="s">
        <v>329</v>
      </c>
      <c r="L28" s="200" t="s">
        <v>328</v>
      </c>
      <c r="M28" s="278" t="s">
        <v>12</v>
      </c>
      <c r="N28" s="278">
        <v>10</v>
      </c>
      <c r="O28" s="278">
        <v>16</v>
      </c>
      <c r="P28" s="278">
        <v>15</v>
      </c>
      <c r="Q28" s="278" t="s">
        <v>965</v>
      </c>
      <c r="R28" s="195"/>
    </row>
    <row r="29" spans="1:19" s="196" customFormat="1" x14ac:dyDescent="0.2">
      <c r="A29" s="484"/>
      <c r="B29" s="485"/>
      <c r="C29" s="479"/>
      <c r="D29" s="493"/>
      <c r="E29" s="277" t="s">
        <v>14</v>
      </c>
      <c r="F29" s="31">
        <v>27.1</v>
      </c>
      <c r="G29" s="32">
        <v>302.8</v>
      </c>
      <c r="H29" s="31">
        <v>263</v>
      </c>
      <c r="I29" s="31">
        <v>780</v>
      </c>
      <c r="J29" s="209"/>
      <c r="K29" s="209"/>
      <c r="L29" s="210"/>
      <c r="M29" s="205"/>
      <c r="N29" s="25"/>
      <c r="O29" s="25"/>
      <c r="P29" s="205"/>
      <c r="Q29" s="205"/>
      <c r="R29" s="195"/>
    </row>
    <row r="30" spans="1:19" s="196" customFormat="1" x14ac:dyDescent="0.2">
      <c r="A30" s="484"/>
      <c r="B30" s="485"/>
      <c r="C30" s="479"/>
      <c r="D30" s="493"/>
      <c r="E30" s="277" t="s">
        <v>18</v>
      </c>
      <c r="F30" s="31"/>
      <c r="G30" s="32">
        <v>389</v>
      </c>
      <c r="H30" s="31">
        <v>1533.6</v>
      </c>
      <c r="I30" s="31">
        <v>1345.3</v>
      </c>
      <c r="J30" s="209"/>
      <c r="K30" s="209"/>
      <c r="L30" s="210"/>
      <c r="M30" s="205"/>
      <c r="N30" s="25"/>
      <c r="O30" s="25"/>
      <c r="P30" s="205"/>
      <c r="Q30" s="205"/>
      <c r="R30" s="195"/>
    </row>
    <row r="31" spans="1:19" s="196" customFormat="1" x14ac:dyDescent="0.2">
      <c r="A31" s="484"/>
      <c r="B31" s="485"/>
      <c r="C31" s="479"/>
      <c r="D31" s="493"/>
      <c r="E31" s="277" t="s">
        <v>170</v>
      </c>
      <c r="F31" s="31"/>
      <c r="G31" s="32">
        <v>2125</v>
      </c>
      <c r="H31" s="31">
        <v>6577</v>
      </c>
      <c r="I31" s="31">
        <v>8641.7000000000007</v>
      </c>
      <c r="J31" s="209"/>
      <c r="K31" s="209"/>
      <c r="L31" s="210"/>
      <c r="M31" s="205"/>
      <c r="N31" s="25"/>
      <c r="O31" s="25"/>
      <c r="P31" s="205"/>
      <c r="Q31" s="205"/>
      <c r="R31" s="195"/>
    </row>
    <row r="32" spans="1:19" s="196" customFormat="1" x14ac:dyDescent="0.2">
      <c r="A32" s="484"/>
      <c r="B32" s="485"/>
      <c r="C32" s="479"/>
      <c r="D32" s="493"/>
      <c r="E32" s="30" t="s">
        <v>22</v>
      </c>
      <c r="F32" s="17">
        <f>SUM(F29:F31)</f>
        <v>27.1</v>
      </c>
      <c r="G32" s="29">
        <f>SUM(G29:G31)</f>
        <v>2816.8</v>
      </c>
      <c r="H32" s="17">
        <f>SUM(H29:H31)</f>
        <v>8373.6</v>
      </c>
      <c r="I32" s="17">
        <f>SUM(I29:I31)</f>
        <v>10767</v>
      </c>
      <c r="J32" s="209"/>
      <c r="K32" s="209"/>
      <c r="L32" s="210"/>
      <c r="M32" s="205"/>
      <c r="N32" s="25"/>
      <c r="O32" s="25"/>
      <c r="P32" s="205"/>
      <c r="Q32" s="205"/>
      <c r="R32" s="43">
        <f>(G32-F32)/F32</f>
        <v>102.9409594095941</v>
      </c>
      <c r="S32" s="314"/>
    </row>
    <row r="33" spans="1:18" s="196" customFormat="1" x14ac:dyDescent="0.2">
      <c r="A33" s="484" t="s">
        <v>0</v>
      </c>
      <c r="B33" s="485" t="s">
        <v>0</v>
      </c>
      <c r="C33" s="479" t="s">
        <v>26</v>
      </c>
      <c r="D33" s="493" t="s">
        <v>78</v>
      </c>
      <c r="E33" s="481" t="s">
        <v>327</v>
      </c>
      <c r="F33" s="481"/>
      <c r="G33" s="481"/>
      <c r="H33" s="481"/>
      <c r="I33" s="481"/>
      <c r="J33" s="488" t="s">
        <v>956</v>
      </c>
      <c r="K33" s="200" t="s">
        <v>1012</v>
      </c>
      <c r="L33" s="200" t="s">
        <v>326</v>
      </c>
      <c r="M33" s="278" t="s">
        <v>12</v>
      </c>
      <c r="N33" s="278">
        <v>16</v>
      </c>
      <c r="O33" s="278">
        <v>13</v>
      </c>
      <c r="P33" s="278">
        <v>9</v>
      </c>
      <c r="Q33" s="490" t="s">
        <v>957</v>
      </c>
      <c r="R33" s="195"/>
    </row>
    <row r="34" spans="1:18" s="196" customFormat="1" ht="25.5" x14ac:dyDescent="0.2">
      <c r="A34" s="484"/>
      <c r="B34" s="485"/>
      <c r="C34" s="479"/>
      <c r="D34" s="493"/>
      <c r="E34" s="481"/>
      <c r="F34" s="481"/>
      <c r="G34" s="481"/>
      <c r="H34" s="481"/>
      <c r="I34" s="481"/>
      <c r="J34" s="488"/>
      <c r="K34" s="200" t="s">
        <v>1013</v>
      </c>
      <c r="L34" s="200" t="s">
        <v>325</v>
      </c>
      <c r="M34" s="278" t="s">
        <v>12</v>
      </c>
      <c r="N34" s="278">
        <v>8</v>
      </c>
      <c r="O34" s="278">
        <v>4</v>
      </c>
      <c r="P34" s="278">
        <v>3</v>
      </c>
      <c r="Q34" s="490"/>
      <c r="R34" s="195"/>
    </row>
    <row r="35" spans="1:18" s="196" customFormat="1" x14ac:dyDescent="0.2">
      <c r="A35" s="484"/>
      <c r="B35" s="485"/>
      <c r="C35" s="479"/>
      <c r="D35" s="493"/>
      <c r="E35" s="277" t="s">
        <v>14</v>
      </c>
      <c r="F35" s="31">
        <v>893.2</v>
      </c>
      <c r="G35" s="32">
        <v>552.5</v>
      </c>
      <c r="H35" s="31">
        <v>303.2</v>
      </c>
      <c r="I35" s="31">
        <v>170</v>
      </c>
      <c r="J35" s="208"/>
      <c r="K35" s="208"/>
      <c r="L35" s="207"/>
      <c r="M35" s="207"/>
      <c r="N35" s="25"/>
      <c r="O35" s="25"/>
      <c r="P35" s="207"/>
      <c r="Q35" s="207"/>
      <c r="R35" s="195"/>
    </row>
    <row r="36" spans="1:18" s="196" customFormat="1" x14ac:dyDescent="0.2">
      <c r="A36" s="484"/>
      <c r="B36" s="485"/>
      <c r="C36" s="479"/>
      <c r="D36" s="493"/>
      <c r="E36" s="277" t="s">
        <v>15</v>
      </c>
      <c r="F36" s="31">
        <v>451.488</v>
      </c>
      <c r="G36" s="32">
        <v>578.70000000000005</v>
      </c>
      <c r="H36" s="31">
        <v>51.1</v>
      </c>
      <c r="I36" s="31">
        <v>21</v>
      </c>
      <c r="J36" s="208"/>
      <c r="K36" s="208"/>
      <c r="L36" s="207"/>
      <c r="M36" s="207"/>
      <c r="N36" s="25"/>
      <c r="O36" s="25"/>
      <c r="P36" s="207"/>
      <c r="Q36" s="207"/>
      <c r="R36" s="195"/>
    </row>
    <row r="37" spans="1:18" s="196" customFormat="1" x14ac:dyDescent="0.2">
      <c r="A37" s="484"/>
      <c r="B37" s="485"/>
      <c r="C37" s="479"/>
      <c r="D37" s="493"/>
      <c r="E37" s="277" t="s">
        <v>18</v>
      </c>
      <c r="F37" s="31">
        <v>1450.7</v>
      </c>
      <c r="G37" s="32">
        <v>558</v>
      </c>
      <c r="H37" s="31">
        <v>1700</v>
      </c>
      <c r="I37" s="31">
        <v>2000</v>
      </c>
      <c r="J37" s="208"/>
      <c r="K37" s="208"/>
      <c r="L37" s="207"/>
      <c r="M37" s="207"/>
      <c r="N37" s="25"/>
      <c r="O37" s="25"/>
      <c r="P37" s="207"/>
      <c r="Q37" s="207"/>
      <c r="R37" s="195"/>
    </row>
    <row r="38" spans="1:18" s="196" customFormat="1" x14ac:dyDescent="0.2">
      <c r="A38" s="484"/>
      <c r="B38" s="485"/>
      <c r="C38" s="479"/>
      <c r="D38" s="493"/>
      <c r="E38" s="271" t="s">
        <v>170</v>
      </c>
      <c r="F38" s="31">
        <v>1778.7</v>
      </c>
      <c r="G38" s="32">
        <v>2846.8</v>
      </c>
      <c r="H38" s="31">
        <v>1802.7</v>
      </c>
      <c r="I38" s="31">
        <v>645.20000000000005</v>
      </c>
      <c r="J38" s="208"/>
      <c r="K38" s="208"/>
      <c r="L38" s="207"/>
      <c r="M38" s="207"/>
      <c r="N38" s="25"/>
      <c r="O38" s="25"/>
      <c r="P38" s="207"/>
      <c r="Q38" s="207"/>
      <c r="R38" s="195"/>
    </row>
    <row r="39" spans="1:18" s="196" customFormat="1" x14ac:dyDescent="0.2">
      <c r="A39" s="484"/>
      <c r="B39" s="485"/>
      <c r="C39" s="479"/>
      <c r="D39" s="493"/>
      <c r="E39" s="30" t="s">
        <v>22</v>
      </c>
      <c r="F39" s="28">
        <f>SUM(F35:F38)</f>
        <v>4574.0879999999997</v>
      </c>
      <c r="G39" s="29">
        <f>SUM(G35:G38)</f>
        <v>4536</v>
      </c>
      <c r="H39" s="28">
        <f>SUM(H35:H38)</f>
        <v>3857</v>
      </c>
      <c r="I39" s="28">
        <f>SUM(I35:I38)</f>
        <v>2836.2</v>
      </c>
      <c r="J39" s="208"/>
      <c r="K39" s="208"/>
      <c r="L39" s="207"/>
      <c r="M39" s="207"/>
      <c r="N39" s="25"/>
      <c r="O39" s="25"/>
      <c r="P39" s="207"/>
      <c r="Q39" s="207"/>
      <c r="R39" s="43">
        <f>(G39-F39)/F39</f>
        <v>-8.3269058225376811E-3</v>
      </c>
    </row>
    <row r="40" spans="1:18" s="196" customFormat="1" x14ac:dyDescent="0.2">
      <c r="A40" s="270" t="s">
        <v>0</v>
      </c>
      <c r="B40" s="273" t="s">
        <v>0</v>
      </c>
      <c r="C40" s="276"/>
      <c r="D40" s="276" t="s">
        <v>18</v>
      </c>
      <c r="E40" s="42" t="s">
        <v>275</v>
      </c>
      <c r="F40" s="40">
        <f>F16+F32+F39+F27+F21</f>
        <v>8497.6880000000001</v>
      </c>
      <c r="G40" s="41">
        <f>G16+G32+G39+G27+G21</f>
        <v>9944</v>
      </c>
      <c r="H40" s="40">
        <f>H16+H32+H39+H27+H21</f>
        <v>12985.6</v>
      </c>
      <c r="I40" s="40">
        <f>I16+I32+I39+I27+I21</f>
        <v>13658.2</v>
      </c>
      <c r="J40" s="280"/>
      <c r="K40" s="198"/>
      <c r="L40" s="198"/>
      <c r="M40" s="198"/>
      <c r="N40" s="198"/>
      <c r="O40" s="198"/>
      <c r="P40" s="198"/>
      <c r="Q40" s="198"/>
      <c r="R40" s="195"/>
    </row>
    <row r="41" spans="1:18" s="196" customFormat="1" x14ac:dyDescent="0.2">
      <c r="A41" s="270" t="s">
        <v>0</v>
      </c>
      <c r="B41" s="273" t="s">
        <v>10</v>
      </c>
      <c r="C41" s="211"/>
      <c r="D41" s="279" t="s">
        <v>31</v>
      </c>
      <c r="E41" s="487" t="s">
        <v>324</v>
      </c>
      <c r="F41" s="487"/>
      <c r="G41" s="487"/>
      <c r="H41" s="487"/>
      <c r="I41" s="487"/>
      <c r="J41" s="279" t="s">
        <v>966</v>
      </c>
      <c r="K41" s="197" t="s">
        <v>323</v>
      </c>
      <c r="L41" s="197" t="s">
        <v>322</v>
      </c>
      <c r="M41" s="198" t="s">
        <v>12</v>
      </c>
      <c r="N41" s="198">
        <v>27</v>
      </c>
      <c r="O41" s="198">
        <v>27.5</v>
      </c>
      <c r="P41" s="198">
        <v>28</v>
      </c>
      <c r="Q41" s="198" t="s">
        <v>967</v>
      </c>
      <c r="R41" s="195"/>
    </row>
    <row r="42" spans="1:18" s="196" customFormat="1" ht="13.5" x14ac:dyDescent="0.2">
      <c r="A42" s="484" t="s">
        <v>0</v>
      </c>
      <c r="B42" s="485" t="s">
        <v>10</v>
      </c>
      <c r="C42" s="480" t="s">
        <v>0</v>
      </c>
      <c r="D42" s="486" t="s">
        <v>21</v>
      </c>
      <c r="E42" s="481" t="s">
        <v>321</v>
      </c>
      <c r="F42" s="481"/>
      <c r="G42" s="481"/>
      <c r="H42" s="481"/>
      <c r="I42" s="481"/>
      <c r="J42" s="274" t="s">
        <v>19</v>
      </c>
      <c r="K42" s="200" t="s">
        <v>320</v>
      </c>
      <c r="L42" s="33" t="s">
        <v>319</v>
      </c>
      <c r="M42" s="278" t="s">
        <v>12</v>
      </c>
      <c r="N42" s="278">
        <v>12</v>
      </c>
      <c r="O42" s="278">
        <v>13</v>
      </c>
      <c r="P42" s="278">
        <v>14</v>
      </c>
      <c r="Q42" s="278" t="s">
        <v>19</v>
      </c>
      <c r="R42" s="195"/>
    </row>
    <row r="43" spans="1:18" s="196" customFormat="1" x14ac:dyDescent="0.2">
      <c r="A43" s="484"/>
      <c r="B43" s="485"/>
      <c r="C43" s="480"/>
      <c r="D43" s="486"/>
      <c r="E43" s="33" t="s">
        <v>14</v>
      </c>
      <c r="F43" s="31">
        <v>23.7</v>
      </c>
      <c r="G43" s="32">
        <v>20</v>
      </c>
      <c r="H43" s="106">
        <f>ROUND(G43*Lapas1!$B$1, 1)</f>
        <v>21.6</v>
      </c>
      <c r="I43" s="106">
        <f>ROUND(H43*Lapas1!$B$1, 1)</f>
        <v>23.3</v>
      </c>
      <c r="J43" s="209"/>
      <c r="K43" s="209"/>
      <c r="L43" s="210"/>
      <c r="M43" s="205"/>
      <c r="N43" s="25"/>
      <c r="O43" s="25"/>
      <c r="P43" s="205"/>
      <c r="Q43" s="205"/>
      <c r="R43" s="195"/>
    </row>
    <row r="44" spans="1:18" s="196" customFormat="1" x14ac:dyDescent="0.2">
      <c r="A44" s="484"/>
      <c r="B44" s="485"/>
      <c r="C44" s="480"/>
      <c r="D44" s="486"/>
      <c r="E44" s="30" t="s">
        <v>22</v>
      </c>
      <c r="F44" s="17">
        <f>SUM(F43:F43)</f>
        <v>23.7</v>
      </c>
      <c r="G44" s="29">
        <f>SUM(G43:G43)</f>
        <v>20</v>
      </c>
      <c r="H44" s="17">
        <f>SUM(H43:H43)</f>
        <v>21.6</v>
      </c>
      <c r="I44" s="17">
        <f>SUM(I43:I43)</f>
        <v>23.3</v>
      </c>
      <c r="J44" s="209"/>
      <c r="K44" s="209"/>
      <c r="L44" s="210"/>
      <c r="M44" s="205"/>
      <c r="N44" s="25"/>
      <c r="O44" s="25"/>
      <c r="P44" s="205"/>
      <c r="Q44" s="205"/>
      <c r="R44" s="43">
        <f>(G44-F44)/F44</f>
        <v>-0.15611814345991559</v>
      </c>
    </row>
    <row r="45" spans="1:18" s="196" customFormat="1" ht="13.5" x14ac:dyDescent="0.2">
      <c r="A45" s="484" t="s">
        <v>0</v>
      </c>
      <c r="B45" s="485" t="s">
        <v>10</v>
      </c>
      <c r="C45" s="479" t="s">
        <v>10</v>
      </c>
      <c r="D45" s="488" t="s">
        <v>21</v>
      </c>
      <c r="E45" s="489" t="s">
        <v>318</v>
      </c>
      <c r="F45" s="489"/>
      <c r="G45" s="489"/>
      <c r="H45" s="489"/>
      <c r="I45" s="489"/>
      <c r="J45" s="274" t="s">
        <v>19</v>
      </c>
      <c r="K45" s="200" t="s">
        <v>317</v>
      </c>
      <c r="L45" s="33" t="s">
        <v>316</v>
      </c>
      <c r="M45" s="278" t="s">
        <v>35</v>
      </c>
      <c r="N45" s="206">
        <v>15</v>
      </c>
      <c r="O45" s="206">
        <v>15</v>
      </c>
      <c r="P45" s="206">
        <v>15</v>
      </c>
      <c r="Q45" s="206" t="s">
        <v>19</v>
      </c>
      <c r="R45" s="195"/>
    </row>
    <row r="46" spans="1:18" s="196" customFormat="1" x14ac:dyDescent="0.2">
      <c r="A46" s="484"/>
      <c r="B46" s="485"/>
      <c r="C46" s="479"/>
      <c r="D46" s="488"/>
      <c r="E46" s="46" t="s">
        <v>14</v>
      </c>
      <c r="F46" s="31">
        <v>34.4</v>
      </c>
      <c r="G46" s="32">
        <v>30</v>
      </c>
      <c r="H46" s="106">
        <f>ROUND(G46*Lapas1!$B$1, 1)</f>
        <v>32.4</v>
      </c>
      <c r="I46" s="106">
        <f>ROUND(H46*Lapas1!$B$1, 1)</f>
        <v>35</v>
      </c>
      <c r="J46" s="209"/>
      <c r="K46" s="209"/>
      <c r="L46" s="210"/>
      <c r="M46" s="205"/>
      <c r="N46" s="25"/>
      <c r="O46" s="25"/>
      <c r="P46" s="205"/>
      <c r="Q46" s="205"/>
      <c r="R46" s="195"/>
    </row>
    <row r="47" spans="1:18" s="196" customFormat="1" x14ac:dyDescent="0.2">
      <c r="A47" s="484"/>
      <c r="B47" s="485"/>
      <c r="C47" s="479"/>
      <c r="D47" s="488"/>
      <c r="E47" s="30" t="s">
        <v>22</v>
      </c>
      <c r="F47" s="17">
        <f>SUM(F46:F46)</f>
        <v>34.4</v>
      </c>
      <c r="G47" s="29">
        <f>SUM(G46:G46)</f>
        <v>30</v>
      </c>
      <c r="H47" s="17">
        <f>SUM(H46:H46)</f>
        <v>32.4</v>
      </c>
      <c r="I47" s="17">
        <f>SUM(I46:I46)</f>
        <v>35</v>
      </c>
      <c r="J47" s="209"/>
      <c r="K47" s="208"/>
      <c r="L47" s="210"/>
      <c r="M47" s="207"/>
      <c r="N47" s="25"/>
      <c r="O47" s="25"/>
      <c r="P47" s="207"/>
      <c r="Q47" s="207"/>
      <c r="R47" s="43">
        <f>(G47-F47)/F47</f>
        <v>-0.12790697674418602</v>
      </c>
    </row>
    <row r="48" spans="1:18" s="196" customFormat="1" x14ac:dyDescent="0.2">
      <c r="A48" s="270" t="s">
        <v>0</v>
      </c>
      <c r="B48" s="273" t="s">
        <v>10</v>
      </c>
      <c r="C48" s="276"/>
      <c r="D48" s="276" t="s">
        <v>31</v>
      </c>
      <c r="E48" s="42" t="s">
        <v>275</v>
      </c>
      <c r="F48" s="40">
        <f>F44+F47</f>
        <v>58.099999999999994</v>
      </c>
      <c r="G48" s="41">
        <f>G44+G47</f>
        <v>50</v>
      </c>
      <c r="H48" s="40">
        <f>H44+H47</f>
        <v>54</v>
      </c>
      <c r="I48" s="40">
        <f>I44+I47</f>
        <v>58.3</v>
      </c>
      <c r="J48" s="280"/>
      <c r="K48" s="198" t="s">
        <v>19</v>
      </c>
      <c r="L48" s="198" t="s">
        <v>19</v>
      </c>
      <c r="M48" s="198" t="s">
        <v>19</v>
      </c>
      <c r="N48" s="198" t="s">
        <v>19</v>
      </c>
      <c r="O48" s="198" t="s">
        <v>19</v>
      </c>
      <c r="P48" s="198" t="s">
        <v>19</v>
      </c>
      <c r="Q48" s="198" t="s">
        <v>19</v>
      </c>
      <c r="R48" s="195"/>
    </row>
    <row r="49" spans="1:18" s="196" customFormat="1" ht="25.5" x14ac:dyDescent="0.2">
      <c r="A49" s="270" t="s">
        <v>0</v>
      </c>
      <c r="B49" s="273" t="s">
        <v>24</v>
      </c>
      <c r="C49" s="279"/>
      <c r="D49" s="279" t="s">
        <v>18</v>
      </c>
      <c r="E49" s="487" t="s">
        <v>940</v>
      </c>
      <c r="F49" s="487"/>
      <c r="G49" s="487"/>
      <c r="H49" s="487"/>
      <c r="I49" s="487"/>
      <c r="J49" s="279" t="s">
        <v>310</v>
      </c>
      <c r="K49" s="197" t="s">
        <v>315</v>
      </c>
      <c r="L49" s="197" t="s">
        <v>314</v>
      </c>
      <c r="M49" s="198" t="s">
        <v>12</v>
      </c>
      <c r="N49" s="198">
        <v>2</v>
      </c>
      <c r="O49" s="198">
        <v>2</v>
      </c>
      <c r="P49" s="198">
        <v>2</v>
      </c>
      <c r="Q49" s="198" t="s">
        <v>307</v>
      </c>
      <c r="R49" s="195"/>
    </row>
    <row r="50" spans="1:18" s="196" customFormat="1" ht="13.5" x14ac:dyDescent="0.2">
      <c r="A50" s="484" t="s">
        <v>0</v>
      </c>
      <c r="B50" s="485" t="s">
        <v>24</v>
      </c>
      <c r="C50" s="480" t="s">
        <v>0</v>
      </c>
      <c r="D50" s="486" t="s">
        <v>21</v>
      </c>
      <c r="E50" s="481" t="s">
        <v>313</v>
      </c>
      <c r="F50" s="481"/>
      <c r="G50" s="481"/>
      <c r="H50" s="481"/>
      <c r="I50" s="481"/>
      <c r="J50" s="274" t="s">
        <v>19</v>
      </c>
      <c r="K50" s="200" t="s">
        <v>312</v>
      </c>
      <c r="L50" s="33" t="s">
        <v>311</v>
      </c>
      <c r="M50" s="278" t="s">
        <v>12</v>
      </c>
      <c r="N50" s="278">
        <v>2</v>
      </c>
      <c r="O50" s="278">
        <v>2</v>
      </c>
      <c r="P50" s="278">
        <v>2</v>
      </c>
      <c r="Q50" s="278" t="s">
        <v>19</v>
      </c>
      <c r="R50" s="195"/>
    </row>
    <row r="51" spans="1:18" s="196" customFormat="1" x14ac:dyDescent="0.2">
      <c r="A51" s="484"/>
      <c r="B51" s="485"/>
      <c r="C51" s="480"/>
      <c r="D51" s="486"/>
      <c r="E51" s="33" t="s">
        <v>14</v>
      </c>
      <c r="F51" s="31">
        <v>63.5</v>
      </c>
      <c r="G51" s="32">
        <v>46.5</v>
      </c>
      <c r="H51" s="106">
        <f>ROUND(G51*Lapas1!$B$1, 1)</f>
        <v>50.2</v>
      </c>
      <c r="I51" s="106">
        <f>ROUND(H51*Lapas1!$B$1, 1)</f>
        <v>54.2</v>
      </c>
      <c r="J51" s="209"/>
      <c r="K51" s="209"/>
      <c r="L51" s="210"/>
      <c r="M51" s="205"/>
      <c r="N51" s="25"/>
      <c r="O51" s="25"/>
      <c r="P51" s="205"/>
      <c r="Q51" s="205"/>
      <c r="R51" s="195"/>
    </row>
    <row r="52" spans="1:18" s="196" customFormat="1" x14ac:dyDescent="0.2">
      <c r="A52" s="484"/>
      <c r="B52" s="485"/>
      <c r="C52" s="480"/>
      <c r="D52" s="486"/>
      <c r="E52" s="30" t="s">
        <v>22</v>
      </c>
      <c r="F52" s="17">
        <f>SUM(F51:F51)</f>
        <v>63.5</v>
      </c>
      <c r="G52" s="29">
        <f>SUM(G51:G51)</f>
        <v>46.5</v>
      </c>
      <c r="H52" s="17">
        <f>SUM(H51:H51)</f>
        <v>50.2</v>
      </c>
      <c r="I52" s="17">
        <f>SUM(I51:I51)</f>
        <v>54.2</v>
      </c>
      <c r="J52" s="209"/>
      <c r="K52" s="209"/>
      <c r="L52" s="210"/>
      <c r="M52" s="205"/>
      <c r="N52" s="25"/>
      <c r="O52" s="25"/>
      <c r="P52" s="205"/>
      <c r="Q52" s="205"/>
      <c r="R52" s="43">
        <f>(G52-F52)/F52</f>
        <v>-0.26771653543307089</v>
      </c>
    </row>
    <row r="53" spans="1:18" s="196" customFormat="1" ht="13.5" x14ac:dyDescent="0.2">
      <c r="A53" s="484" t="s">
        <v>0</v>
      </c>
      <c r="B53" s="485" t="s">
        <v>24</v>
      </c>
      <c r="C53" s="479" t="s">
        <v>10</v>
      </c>
      <c r="D53" s="486" t="s">
        <v>78</v>
      </c>
      <c r="E53" s="481" t="s">
        <v>935</v>
      </c>
      <c r="F53" s="481"/>
      <c r="G53" s="481"/>
      <c r="H53" s="481"/>
      <c r="I53" s="481"/>
      <c r="J53" s="274" t="s">
        <v>310</v>
      </c>
      <c r="K53" s="200" t="s">
        <v>309</v>
      </c>
      <c r="L53" s="33" t="s">
        <v>308</v>
      </c>
      <c r="M53" s="278" t="s">
        <v>12</v>
      </c>
      <c r="N53" s="278">
        <v>15</v>
      </c>
      <c r="O53" s="278">
        <v>15</v>
      </c>
      <c r="P53" s="278">
        <v>15</v>
      </c>
      <c r="Q53" s="278" t="s">
        <v>307</v>
      </c>
      <c r="R53" s="195"/>
    </row>
    <row r="54" spans="1:18" s="196" customFormat="1" x14ac:dyDescent="0.2">
      <c r="A54" s="484"/>
      <c r="B54" s="485"/>
      <c r="C54" s="479"/>
      <c r="D54" s="486"/>
      <c r="E54" s="33" t="s">
        <v>14</v>
      </c>
      <c r="F54" s="31"/>
      <c r="G54" s="32">
        <v>72.7</v>
      </c>
      <c r="H54" s="106">
        <f>ROUND(G54*Lapas1!$B$1, 1)</f>
        <v>78.5</v>
      </c>
      <c r="I54" s="106">
        <f>ROUND(H54*Lapas1!$B$1, 1)</f>
        <v>84.8</v>
      </c>
      <c r="J54" s="209"/>
      <c r="K54" s="209"/>
      <c r="L54" s="210"/>
      <c r="M54" s="205"/>
      <c r="N54" s="25"/>
      <c r="O54" s="25"/>
      <c r="P54" s="205"/>
      <c r="Q54" s="205"/>
      <c r="R54" s="195"/>
    </row>
    <row r="55" spans="1:18" s="196" customFormat="1" x14ac:dyDescent="0.2">
      <c r="A55" s="484"/>
      <c r="B55" s="485"/>
      <c r="C55" s="479"/>
      <c r="D55" s="486"/>
      <c r="E55" s="33" t="s">
        <v>15</v>
      </c>
      <c r="F55" s="31">
        <v>22.864000000000001</v>
      </c>
      <c r="G55" s="32">
        <v>22.713999999999999</v>
      </c>
      <c r="H55" s="106">
        <f>ROUND(G55*Lapas1!$B$2, 1)</f>
        <v>24.5</v>
      </c>
      <c r="I55" s="106">
        <f>ROUND(H55*Lapas1!$B$2, 1)</f>
        <v>26.5</v>
      </c>
      <c r="J55" s="209"/>
      <c r="K55" s="209"/>
      <c r="L55" s="210"/>
      <c r="M55" s="205"/>
      <c r="N55" s="25"/>
      <c r="O55" s="25"/>
      <c r="P55" s="205"/>
      <c r="Q55" s="205"/>
      <c r="R55" s="195"/>
    </row>
    <row r="56" spans="1:18" s="196" customFormat="1" x14ac:dyDescent="0.2">
      <c r="A56" s="484"/>
      <c r="B56" s="485"/>
      <c r="C56" s="479"/>
      <c r="D56" s="486"/>
      <c r="E56" s="30" t="s">
        <v>22</v>
      </c>
      <c r="F56" s="17">
        <f>SUM(F54:F55)</f>
        <v>22.864000000000001</v>
      </c>
      <c r="G56" s="29">
        <f>SUM(G54:G55)</f>
        <v>95.414000000000001</v>
      </c>
      <c r="H56" s="17">
        <f>SUM(H54:H55)</f>
        <v>103</v>
      </c>
      <c r="I56" s="17">
        <f>SUM(I54:I55)</f>
        <v>111.3</v>
      </c>
      <c r="J56" s="209"/>
      <c r="K56" s="209"/>
      <c r="L56" s="210"/>
      <c r="M56" s="205"/>
      <c r="N56" s="25"/>
      <c r="O56" s="25"/>
      <c r="P56" s="205"/>
      <c r="Q56" s="205"/>
      <c r="R56" s="43">
        <f>(G56-F56)/F56</f>
        <v>3.1731105668299509</v>
      </c>
    </row>
    <row r="57" spans="1:18" s="196" customFormat="1" ht="13.5" x14ac:dyDescent="0.2">
      <c r="A57" s="484" t="s">
        <v>0</v>
      </c>
      <c r="B57" s="485" t="s">
        <v>24</v>
      </c>
      <c r="C57" s="479" t="s">
        <v>24</v>
      </c>
      <c r="D57" s="486" t="s">
        <v>21</v>
      </c>
      <c r="E57" s="481" t="s">
        <v>306</v>
      </c>
      <c r="F57" s="481"/>
      <c r="G57" s="481"/>
      <c r="H57" s="481"/>
      <c r="I57" s="481"/>
      <c r="J57" s="274" t="s">
        <v>19</v>
      </c>
      <c r="K57" s="200" t="s">
        <v>305</v>
      </c>
      <c r="L57" s="33" t="s">
        <v>304</v>
      </c>
      <c r="M57" s="278" t="s">
        <v>12</v>
      </c>
      <c r="N57" s="278">
        <v>1</v>
      </c>
      <c r="O57" s="278">
        <v>1</v>
      </c>
      <c r="P57" s="278">
        <v>1</v>
      </c>
      <c r="Q57" s="278" t="s">
        <v>19</v>
      </c>
      <c r="R57" s="195"/>
    </row>
    <row r="58" spans="1:18" s="196" customFormat="1" x14ac:dyDescent="0.2">
      <c r="A58" s="484"/>
      <c r="B58" s="485"/>
      <c r="C58" s="479"/>
      <c r="D58" s="486"/>
      <c r="E58" s="33" t="s">
        <v>14</v>
      </c>
      <c r="F58" s="31">
        <v>60.6</v>
      </c>
      <c r="G58" s="32">
        <v>35</v>
      </c>
      <c r="H58" s="106">
        <f>ROUND(G58*Lapas1!$B$1, 1)</f>
        <v>37.799999999999997</v>
      </c>
      <c r="I58" s="106">
        <f>ROUND(H58*Lapas1!$B$1, 1)</f>
        <v>40.799999999999997</v>
      </c>
      <c r="J58" s="209"/>
      <c r="K58" s="209"/>
      <c r="L58" s="207"/>
      <c r="M58" s="207"/>
      <c r="N58" s="25"/>
      <c r="O58" s="25"/>
      <c r="P58" s="207"/>
      <c r="Q58" s="207"/>
      <c r="R58" s="195"/>
    </row>
    <row r="59" spans="1:18" s="196" customFormat="1" x14ac:dyDescent="0.2">
      <c r="A59" s="484"/>
      <c r="B59" s="485"/>
      <c r="C59" s="479"/>
      <c r="D59" s="486"/>
      <c r="E59" s="30" t="s">
        <v>22</v>
      </c>
      <c r="F59" s="17">
        <f>SUM(F58:F58)</f>
        <v>60.6</v>
      </c>
      <c r="G59" s="29">
        <f>SUM(G58:G58)</f>
        <v>35</v>
      </c>
      <c r="H59" s="17">
        <f>SUM(H58:H58)</f>
        <v>37.799999999999997</v>
      </c>
      <c r="I59" s="17">
        <f>SUM(I58:I58)</f>
        <v>40.799999999999997</v>
      </c>
      <c r="J59" s="209"/>
      <c r="K59" s="209"/>
      <c r="L59" s="207"/>
      <c r="M59" s="207"/>
      <c r="N59" s="25"/>
      <c r="O59" s="25"/>
      <c r="P59" s="207"/>
      <c r="Q59" s="207"/>
      <c r="R59" s="43">
        <f>(G59-F59)/F59</f>
        <v>-0.42244224422442245</v>
      </c>
    </row>
    <row r="60" spans="1:18" s="196" customFormat="1" x14ac:dyDescent="0.2">
      <c r="A60" s="270" t="s">
        <v>0</v>
      </c>
      <c r="B60" s="273" t="s">
        <v>24</v>
      </c>
      <c r="C60" s="276"/>
      <c r="D60" s="276" t="s">
        <v>18</v>
      </c>
      <c r="E60" s="42" t="s">
        <v>275</v>
      </c>
      <c r="F60" s="40">
        <f>F52+F56+F59</f>
        <v>146.964</v>
      </c>
      <c r="G60" s="41">
        <f>G52+G56+G59</f>
        <v>176.91399999999999</v>
      </c>
      <c r="H60" s="40">
        <f>H52+H56+H59</f>
        <v>191</v>
      </c>
      <c r="I60" s="40">
        <f>I52+I56+I59</f>
        <v>206.3</v>
      </c>
      <c r="J60" s="280"/>
      <c r="K60" s="198"/>
      <c r="L60" s="198"/>
      <c r="M60" s="198"/>
      <c r="N60" s="198"/>
      <c r="O60" s="198"/>
      <c r="P60" s="198"/>
      <c r="Q60" s="198"/>
      <c r="R60" s="195"/>
    </row>
    <row r="61" spans="1:18" s="196" customFormat="1" x14ac:dyDescent="0.2">
      <c r="A61" s="212" t="s">
        <v>0</v>
      </c>
      <c r="B61" s="39"/>
      <c r="C61" s="39"/>
      <c r="D61" s="39"/>
      <c r="E61" s="38" t="s">
        <v>276</v>
      </c>
      <c r="F61" s="36">
        <f>F40+F48+F60</f>
        <v>8702.7520000000004</v>
      </c>
      <c r="G61" s="37">
        <f>G40+G48+G60</f>
        <v>10170.914000000001</v>
      </c>
      <c r="H61" s="36">
        <f>H40+H48+H60</f>
        <v>13230.6</v>
      </c>
      <c r="I61" s="36">
        <f>I40+I48+I60</f>
        <v>13922.8</v>
      </c>
      <c r="J61" s="39"/>
      <c r="K61" s="213"/>
      <c r="L61" s="213"/>
      <c r="M61" s="213"/>
      <c r="N61" s="213"/>
      <c r="O61" s="213"/>
      <c r="P61" s="213"/>
      <c r="Q61" s="213"/>
      <c r="R61" s="195"/>
    </row>
    <row r="62" spans="1:18" s="196" customFormat="1" x14ac:dyDescent="0.2">
      <c r="A62" s="272" t="s">
        <v>10</v>
      </c>
      <c r="B62" s="272"/>
      <c r="C62" s="272"/>
      <c r="D62" s="272"/>
      <c r="E62" s="482" t="s">
        <v>303</v>
      </c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195"/>
    </row>
    <row r="63" spans="1:18" s="196" customFormat="1" ht="25.5" x14ac:dyDescent="0.2">
      <c r="A63" s="272" t="s">
        <v>10</v>
      </c>
      <c r="B63" s="273" t="s">
        <v>0</v>
      </c>
      <c r="C63" s="273"/>
      <c r="D63" s="273" t="s">
        <v>18</v>
      </c>
      <c r="E63" s="483" t="s">
        <v>302</v>
      </c>
      <c r="F63" s="483"/>
      <c r="G63" s="483"/>
      <c r="H63" s="483"/>
      <c r="I63" s="483"/>
      <c r="J63" s="280" t="s">
        <v>294</v>
      </c>
      <c r="K63" s="197" t="s">
        <v>301</v>
      </c>
      <c r="L63" s="197" t="s">
        <v>300</v>
      </c>
      <c r="M63" s="198" t="s">
        <v>11</v>
      </c>
      <c r="N63" s="198">
        <v>90</v>
      </c>
      <c r="O63" s="198">
        <v>90</v>
      </c>
      <c r="P63" s="198">
        <v>90</v>
      </c>
      <c r="Q63" s="198" t="s">
        <v>291</v>
      </c>
      <c r="R63" s="195"/>
    </row>
    <row r="64" spans="1:18" s="196" customFormat="1" ht="25.5" x14ac:dyDescent="0.2">
      <c r="A64" s="477" t="s">
        <v>10</v>
      </c>
      <c r="B64" s="478" t="s">
        <v>0</v>
      </c>
      <c r="C64" s="479" t="s">
        <v>0</v>
      </c>
      <c r="D64" s="480" t="s">
        <v>296</v>
      </c>
      <c r="E64" s="481" t="s">
        <v>299</v>
      </c>
      <c r="F64" s="481"/>
      <c r="G64" s="481"/>
      <c r="H64" s="481"/>
      <c r="I64" s="481"/>
      <c r="J64" s="274" t="s">
        <v>294</v>
      </c>
      <c r="K64" s="200" t="s">
        <v>298</v>
      </c>
      <c r="L64" s="200" t="s">
        <v>297</v>
      </c>
      <c r="M64" s="278" t="s">
        <v>12</v>
      </c>
      <c r="N64" s="278">
        <v>2</v>
      </c>
      <c r="O64" s="278">
        <v>2</v>
      </c>
      <c r="P64" s="278">
        <v>2</v>
      </c>
      <c r="Q64" s="278" t="s">
        <v>291</v>
      </c>
      <c r="R64" s="195"/>
    </row>
    <row r="65" spans="1:19" s="196" customFormat="1" x14ac:dyDescent="0.2">
      <c r="A65" s="477"/>
      <c r="B65" s="478"/>
      <c r="C65" s="479"/>
      <c r="D65" s="480"/>
      <c r="E65" s="33" t="s">
        <v>14</v>
      </c>
      <c r="F65" s="31"/>
      <c r="G65" s="32"/>
      <c r="H65" s="31"/>
      <c r="I65" s="31"/>
      <c r="J65" s="209"/>
      <c r="K65" s="209"/>
      <c r="L65" s="207"/>
      <c r="M65" s="205"/>
      <c r="N65" s="25"/>
      <c r="O65" s="25"/>
      <c r="P65" s="205"/>
      <c r="Q65" s="205"/>
      <c r="R65" s="195"/>
    </row>
    <row r="66" spans="1:19" s="196" customFormat="1" x14ac:dyDescent="0.2">
      <c r="A66" s="477"/>
      <c r="B66" s="478"/>
      <c r="C66" s="479"/>
      <c r="D66" s="480"/>
      <c r="E66" s="30" t="s">
        <v>22</v>
      </c>
      <c r="F66" s="28">
        <v>0</v>
      </c>
      <c r="G66" s="29">
        <v>0</v>
      </c>
      <c r="H66" s="28">
        <v>0</v>
      </c>
      <c r="I66" s="28">
        <v>0</v>
      </c>
      <c r="J66" s="209"/>
      <c r="K66" s="209"/>
      <c r="L66" s="207"/>
      <c r="M66" s="205"/>
      <c r="N66" s="25"/>
      <c r="O66" s="25"/>
      <c r="P66" s="205"/>
      <c r="Q66" s="205"/>
      <c r="R66" s="24" t="s">
        <v>290</v>
      </c>
    </row>
    <row r="67" spans="1:19" s="196" customFormat="1" ht="25.5" x14ac:dyDescent="0.2">
      <c r="A67" s="477" t="s">
        <v>10</v>
      </c>
      <c r="B67" s="478" t="s">
        <v>0</v>
      </c>
      <c r="C67" s="479" t="s">
        <v>10</v>
      </c>
      <c r="D67" s="480" t="s">
        <v>296</v>
      </c>
      <c r="E67" s="481" t="s">
        <v>295</v>
      </c>
      <c r="F67" s="481"/>
      <c r="G67" s="481"/>
      <c r="H67" s="481"/>
      <c r="I67" s="481"/>
      <c r="J67" s="274" t="s">
        <v>294</v>
      </c>
      <c r="K67" s="200" t="s">
        <v>293</v>
      </c>
      <c r="L67" s="200" t="s">
        <v>292</v>
      </c>
      <c r="M67" s="278" t="s">
        <v>12</v>
      </c>
      <c r="N67" s="278">
        <v>1</v>
      </c>
      <c r="O67" s="278">
        <v>1</v>
      </c>
      <c r="P67" s="278">
        <v>1</v>
      </c>
      <c r="Q67" s="278" t="s">
        <v>291</v>
      </c>
      <c r="R67" s="195"/>
    </row>
    <row r="68" spans="1:19" s="196" customFormat="1" x14ac:dyDescent="0.2">
      <c r="A68" s="477"/>
      <c r="B68" s="478"/>
      <c r="C68" s="479"/>
      <c r="D68" s="480"/>
      <c r="E68" s="33" t="s">
        <v>14</v>
      </c>
      <c r="F68" s="31"/>
      <c r="G68" s="32"/>
      <c r="H68" s="31"/>
      <c r="I68" s="31"/>
      <c r="J68" s="209"/>
      <c r="K68" s="209"/>
      <c r="L68" s="207"/>
      <c r="M68" s="205"/>
      <c r="N68" s="25"/>
      <c r="O68" s="25"/>
      <c r="P68" s="205"/>
      <c r="Q68" s="205"/>
      <c r="R68" s="195"/>
    </row>
    <row r="69" spans="1:19" s="196" customFormat="1" x14ac:dyDescent="0.2">
      <c r="A69" s="477"/>
      <c r="B69" s="478"/>
      <c r="C69" s="479"/>
      <c r="D69" s="480"/>
      <c r="E69" s="30" t="s">
        <v>22</v>
      </c>
      <c r="F69" s="28">
        <f>F68</f>
        <v>0</v>
      </c>
      <c r="G69" s="29">
        <f>G68</f>
        <v>0</v>
      </c>
      <c r="H69" s="28">
        <f>H68</f>
        <v>0</v>
      </c>
      <c r="I69" s="28">
        <f>I68</f>
        <v>0</v>
      </c>
      <c r="J69" s="209"/>
      <c r="K69" s="209"/>
      <c r="L69" s="207"/>
      <c r="M69" s="207"/>
      <c r="N69" s="25"/>
      <c r="O69" s="25"/>
      <c r="P69" s="207"/>
      <c r="Q69" s="207"/>
      <c r="R69" s="24" t="s">
        <v>290</v>
      </c>
    </row>
    <row r="70" spans="1:19" s="196" customFormat="1" x14ac:dyDescent="0.2">
      <c r="A70" s="272" t="s">
        <v>10</v>
      </c>
      <c r="B70" s="273" t="s">
        <v>0</v>
      </c>
      <c r="C70" s="211"/>
      <c r="D70" s="211" t="s">
        <v>18</v>
      </c>
      <c r="E70" s="214" t="s">
        <v>275</v>
      </c>
      <c r="F70" s="215">
        <f>F66+F69</f>
        <v>0</v>
      </c>
      <c r="G70" s="412">
        <f>G66+G69</f>
        <v>0</v>
      </c>
      <c r="H70" s="215">
        <f>H66+H69</f>
        <v>0</v>
      </c>
      <c r="I70" s="215">
        <f>I66+I69</f>
        <v>0</v>
      </c>
      <c r="J70" s="280"/>
      <c r="K70" s="198"/>
      <c r="L70" s="198"/>
      <c r="M70" s="198"/>
      <c r="N70" s="198"/>
      <c r="O70" s="198"/>
      <c r="P70" s="198"/>
      <c r="Q70" s="198"/>
      <c r="R70" s="195"/>
    </row>
    <row r="71" spans="1:19" s="196" customFormat="1" x14ac:dyDescent="0.2">
      <c r="A71" s="272" t="s">
        <v>10</v>
      </c>
      <c r="B71" s="216"/>
      <c r="C71" s="216"/>
      <c r="D71" s="216"/>
      <c r="E71" s="217" t="s">
        <v>276</v>
      </c>
      <c r="F71" s="218">
        <f>F70</f>
        <v>0</v>
      </c>
      <c r="G71" s="413">
        <f>G70</f>
        <v>0</v>
      </c>
      <c r="H71" s="218">
        <f>H70</f>
        <v>0</v>
      </c>
      <c r="I71" s="218">
        <f>I70</f>
        <v>0</v>
      </c>
      <c r="J71" s="39"/>
      <c r="K71" s="213"/>
      <c r="L71" s="213"/>
      <c r="M71" s="213"/>
      <c r="N71" s="213"/>
      <c r="O71" s="213"/>
      <c r="P71" s="213"/>
      <c r="Q71" s="213"/>
      <c r="R71" s="195"/>
    </row>
    <row r="72" spans="1:19" s="196" customFormat="1" x14ac:dyDescent="0.2">
      <c r="A72" s="23"/>
      <c r="B72" s="23"/>
      <c r="C72" s="23"/>
      <c r="D72" s="23"/>
      <c r="E72" s="23" t="s">
        <v>3</v>
      </c>
      <c r="F72" s="21">
        <f>F61+F71</f>
        <v>8702.7520000000004</v>
      </c>
      <c r="G72" s="22">
        <f>G61+G71</f>
        <v>10170.914000000001</v>
      </c>
      <c r="H72" s="21">
        <f>H61+H71</f>
        <v>13230.6</v>
      </c>
      <c r="I72" s="21">
        <f>I61+I71</f>
        <v>13922.8</v>
      </c>
      <c r="J72" s="160"/>
      <c r="K72" s="219"/>
      <c r="L72" s="219"/>
      <c r="M72" s="219"/>
      <c r="N72" s="219"/>
      <c r="O72" s="219"/>
      <c r="P72" s="219"/>
      <c r="Q72" s="219"/>
      <c r="R72" s="195"/>
    </row>
    <row r="73" spans="1:19" ht="39.75" customHeight="1" x14ac:dyDescent="0.2">
      <c r="A73" s="498" t="s">
        <v>876</v>
      </c>
      <c r="B73" s="498"/>
      <c r="C73" s="498"/>
      <c r="D73" s="498"/>
      <c r="E73" s="498"/>
      <c r="F73" s="498"/>
      <c r="G73" s="498"/>
      <c r="H73" s="498"/>
      <c r="I73" s="498"/>
      <c r="J73" s="498"/>
      <c r="K73" s="498"/>
    </row>
    <row r="74" spans="1:19" ht="27.75" customHeight="1" x14ac:dyDescent="0.2">
      <c r="A74" s="444" t="s">
        <v>881</v>
      </c>
      <c r="B74" s="444"/>
      <c r="C74" s="444"/>
      <c r="D74" s="444"/>
      <c r="E74" s="444"/>
      <c r="F74" s="444"/>
      <c r="G74" s="444"/>
      <c r="H74" s="444"/>
      <c r="I74" s="444"/>
      <c r="J74" s="444"/>
      <c r="K74" s="444"/>
    </row>
    <row r="75" spans="1:19" x14ac:dyDescent="0.2">
      <c r="A75" s="20"/>
      <c r="L75" s="18"/>
      <c r="M75" s="18"/>
      <c r="N75" s="18"/>
      <c r="O75" s="18"/>
      <c r="P75" s="18"/>
      <c r="Q75" s="18"/>
      <c r="R75" s="18"/>
      <c r="S75" s="18"/>
    </row>
    <row r="76" spans="1:19" x14ac:dyDescent="0.2">
      <c r="A76" s="499" t="s">
        <v>4</v>
      </c>
      <c r="B76" s="499"/>
      <c r="C76" s="499"/>
      <c r="D76" s="499"/>
      <c r="E76" s="499"/>
      <c r="F76" s="499"/>
      <c r="G76" s="499"/>
      <c r="H76" s="499"/>
      <c r="I76" s="499"/>
      <c r="J76" s="19"/>
      <c r="K76" s="18"/>
    </row>
    <row r="77" spans="1:19" ht="28.5" customHeight="1" x14ac:dyDescent="0.2">
      <c r="A77" s="475" t="s">
        <v>13</v>
      </c>
      <c r="B77" s="475"/>
      <c r="C77" s="475"/>
      <c r="D77" s="475"/>
      <c r="E77" s="275" t="s">
        <v>14</v>
      </c>
      <c r="F77" s="17">
        <f>F15+F24+F29+F35+F43+F46+F51+F54+F58+F65+F68+F18</f>
        <v>1481.7</v>
      </c>
      <c r="G77" s="29">
        <f>G15+G24+G29+G35+G43+G46+G51+G54+G58+G65+G68+G18</f>
        <v>1210.2</v>
      </c>
      <c r="H77" s="17">
        <f>H15+H24+H29+H35+H43+H46+H51+H54+H58+H65+H68+H18</f>
        <v>1346.7</v>
      </c>
      <c r="I77" s="17">
        <f>I15+I24+I29+I35+I43+I46+I51+I54+I58+I65+I68+I18</f>
        <v>1243.0999999999999</v>
      </c>
    </row>
    <row r="78" spans="1:19" ht="28.5" customHeight="1" x14ac:dyDescent="0.2">
      <c r="A78" s="475" t="s">
        <v>289</v>
      </c>
      <c r="B78" s="475"/>
      <c r="C78" s="475"/>
      <c r="D78" s="475"/>
      <c r="E78" s="275" t="s">
        <v>15</v>
      </c>
      <c r="F78" s="17">
        <f>F25+F36+F55</f>
        <v>2424.3519999999999</v>
      </c>
      <c r="G78" s="29">
        <f t="shared" ref="G78:I78" si="0">G25+G36+G55</f>
        <v>601.41399999999999</v>
      </c>
      <c r="H78" s="17">
        <f t="shared" si="0"/>
        <v>75.599999999999994</v>
      </c>
      <c r="I78" s="17">
        <f t="shared" si="0"/>
        <v>47.5</v>
      </c>
    </row>
    <row r="79" spans="1:19" ht="51" customHeight="1" x14ac:dyDescent="0.2">
      <c r="A79" s="475" t="s">
        <v>16</v>
      </c>
      <c r="B79" s="475"/>
      <c r="C79" s="475"/>
      <c r="D79" s="475"/>
      <c r="E79" s="275" t="s">
        <v>17</v>
      </c>
      <c r="F79" s="17">
        <f>F19</f>
        <v>105.2</v>
      </c>
      <c r="G79" s="29">
        <f>G19</f>
        <v>0</v>
      </c>
      <c r="H79" s="17">
        <f>H19</f>
        <v>0</v>
      </c>
      <c r="I79" s="17">
        <f>I19</f>
        <v>0</v>
      </c>
    </row>
    <row r="80" spans="1:19" ht="36" customHeight="1" x14ac:dyDescent="0.2">
      <c r="A80" s="475" t="s">
        <v>268</v>
      </c>
      <c r="B80" s="475"/>
      <c r="C80" s="475"/>
      <c r="D80" s="475"/>
      <c r="E80" s="275" t="s">
        <v>269</v>
      </c>
      <c r="F80" s="17"/>
      <c r="G80" s="29"/>
      <c r="H80" s="17"/>
      <c r="I80" s="17"/>
    </row>
    <row r="81" spans="1:17" ht="28.5" customHeight="1" x14ac:dyDescent="0.2">
      <c r="A81" s="475" t="s">
        <v>288</v>
      </c>
      <c r="B81" s="475"/>
      <c r="C81" s="475"/>
      <c r="D81" s="475"/>
      <c r="E81" s="275" t="s">
        <v>18</v>
      </c>
      <c r="F81" s="17">
        <f>F26+F30+F37</f>
        <v>2651.5</v>
      </c>
      <c r="G81" s="29">
        <f t="shared" ref="G81:I81" si="1">G26+G30+G37</f>
        <v>3147</v>
      </c>
      <c r="H81" s="17">
        <f t="shared" si="1"/>
        <v>3233.6</v>
      </c>
      <c r="I81" s="17">
        <f t="shared" si="1"/>
        <v>3345.3</v>
      </c>
    </row>
    <row r="82" spans="1:17" ht="13.9" customHeight="1" x14ac:dyDescent="0.2">
      <c r="A82" s="475" t="s">
        <v>179</v>
      </c>
      <c r="B82" s="475"/>
      <c r="C82" s="475"/>
      <c r="D82" s="475"/>
      <c r="E82" s="275" t="s">
        <v>170</v>
      </c>
      <c r="F82" s="17">
        <f>F31+F38+F20</f>
        <v>2040</v>
      </c>
      <c r="G82" s="29">
        <f t="shared" ref="G82:I82" si="2">G31+G38+G20</f>
        <v>5212.3</v>
      </c>
      <c r="H82" s="17">
        <f t="shared" si="2"/>
        <v>8574.7000000000007</v>
      </c>
      <c r="I82" s="17">
        <f t="shared" si="2"/>
        <v>9286.9000000000015</v>
      </c>
    </row>
    <row r="83" spans="1:17" ht="27" customHeight="1" x14ac:dyDescent="0.2">
      <c r="A83" s="476" t="s">
        <v>3</v>
      </c>
      <c r="B83" s="476"/>
      <c r="C83" s="476"/>
      <c r="D83" s="476"/>
      <c r="E83" s="476"/>
      <c r="F83" s="53">
        <f>SUM(F77:F82)</f>
        <v>8702.7520000000004</v>
      </c>
      <c r="G83" s="54">
        <f>SUM(G77:G82)</f>
        <v>10170.914000000001</v>
      </c>
      <c r="H83" s="53">
        <f>SUM(H77:H82)</f>
        <v>13230.6</v>
      </c>
      <c r="I83" s="53">
        <f>SUM(I77:I82)</f>
        <v>13922.800000000001</v>
      </c>
    </row>
    <row r="84" spans="1:17" ht="13.15" customHeight="1" x14ac:dyDescent="0.2">
      <c r="A84" s="474" t="s">
        <v>7</v>
      </c>
      <c r="B84" s="474"/>
      <c r="C84" s="474"/>
      <c r="D84" s="474"/>
      <c r="E84" s="474"/>
      <c r="F84" s="16">
        <f>F32</f>
        <v>27.1</v>
      </c>
      <c r="G84" s="58">
        <f>G32</f>
        <v>2816.8</v>
      </c>
      <c r="H84" s="16">
        <f>H32</f>
        <v>8373.6</v>
      </c>
      <c r="I84" s="16">
        <f>I32</f>
        <v>10767</v>
      </c>
    </row>
    <row r="85" spans="1:17" ht="13.9" customHeight="1" x14ac:dyDescent="0.2">
      <c r="A85" s="474" t="s">
        <v>5</v>
      </c>
      <c r="B85" s="474"/>
      <c r="C85" s="474"/>
      <c r="D85" s="474"/>
      <c r="E85" s="474"/>
      <c r="F85" s="16">
        <f>F56+F39+F32+F69+F66</f>
        <v>4624.0519999999997</v>
      </c>
      <c r="G85" s="58">
        <f>G56+G39+G32+G69+G66</f>
        <v>7448.2139999999999</v>
      </c>
      <c r="H85" s="16">
        <f>H56+H39+H32+H69+H66</f>
        <v>12333.6</v>
      </c>
      <c r="I85" s="16">
        <f>I56+I39+I32+I69+I66</f>
        <v>13714.5</v>
      </c>
    </row>
    <row r="86" spans="1:17" x14ac:dyDescent="0.2">
      <c r="A86" s="474" t="s">
        <v>6</v>
      </c>
      <c r="B86" s="474"/>
      <c r="C86" s="474"/>
      <c r="D86" s="474"/>
      <c r="E86" s="474"/>
      <c r="F86" s="16">
        <f>F16+F27+F44+F47+F52+F59+F21</f>
        <v>4078.7</v>
      </c>
      <c r="G86" s="58">
        <f>G16+G27+G44+G47+G52+G59+G21</f>
        <v>2722.7000000000003</v>
      </c>
      <c r="H86" s="16">
        <f>H16+H27+H44+H47+H52+H59+H21</f>
        <v>897</v>
      </c>
      <c r="I86" s="16">
        <f>I16+I27+I44+I47+I52+I59+I21</f>
        <v>208.3</v>
      </c>
    </row>
    <row r="87" spans="1:17" x14ac:dyDescent="0.2">
      <c r="D87" s="14"/>
      <c r="F87" s="14"/>
      <c r="G87" s="15"/>
      <c r="H87" s="11"/>
      <c r="I87" s="11"/>
    </row>
    <row r="88" spans="1:17" hidden="1" x14ac:dyDescent="0.2">
      <c r="D88" s="14"/>
      <c r="E88" s="9" t="s">
        <v>23</v>
      </c>
      <c r="F88" s="12">
        <f>F83-F72</f>
        <v>0</v>
      </c>
      <c r="G88" s="13">
        <f>G83-G72</f>
        <v>0</v>
      </c>
      <c r="H88" s="12">
        <f>H83-H72</f>
        <v>0</v>
      </c>
      <c r="I88" s="12">
        <f>I83-I72</f>
        <v>0</v>
      </c>
      <c r="Q88" s="10"/>
    </row>
    <row r="89" spans="1:17" x14ac:dyDescent="0.2">
      <c r="J89" s="11"/>
      <c r="K89" s="11"/>
    </row>
  </sheetData>
  <mergeCells count="97">
    <mergeCell ref="A79:D79"/>
    <mergeCell ref="R9:R10"/>
    <mergeCell ref="H9:H10"/>
    <mergeCell ref="I9:I10"/>
    <mergeCell ref="A14:A16"/>
    <mergeCell ref="B14:B16"/>
    <mergeCell ref="C14:C16"/>
    <mergeCell ref="D14:D16"/>
    <mergeCell ref="Q9:Q10"/>
    <mergeCell ref="E13:I13"/>
    <mergeCell ref="E14:I14"/>
    <mergeCell ref="G9:G10"/>
    <mergeCell ref="F9:F10"/>
    <mergeCell ref="L9:M9"/>
    <mergeCell ref="A9:C9"/>
    <mergeCell ref="D9:D10"/>
    <mergeCell ref="A73:K73"/>
    <mergeCell ref="A74:K74"/>
    <mergeCell ref="A76:I76"/>
    <mergeCell ref="A77:D77"/>
    <mergeCell ref="A78:D78"/>
    <mergeCell ref="A8:P8"/>
    <mergeCell ref="A22:A27"/>
    <mergeCell ref="A33:A39"/>
    <mergeCell ref="D33:D39"/>
    <mergeCell ref="E33:I34"/>
    <mergeCell ref="J33:J34"/>
    <mergeCell ref="E12:Q12"/>
    <mergeCell ref="A17:A21"/>
    <mergeCell ref="D17:D21"/>
    <mergeCell ref="B17:B21"/>
    <mergeCell ref="C17:C21"/>
    <mergeCell ref="N9:P9"/>
    <mergeCell ref="J9:J10"/>
    <mergeCell ref="K9:K10"/>
    <mergeCell ref="E9:E10"/>
    <mergeCell ref="E17:I17"/>
    <mergeCell ref="Q22:Q23"/>
    <mergeCell ref="A28:A32"/>
    <mergeCell ref="B28:B32"/>
    <mergeCell ref="C28:C32"/>
    <mergeCell ref="D28:D32"/>
    <mergeCell ref="E28:I28"/>
    <mergeCell ref="B22:B27"/>
    <mergeCell ref="C22:C27"/>
    <mergeCell ref="D22:D27"/>
    <mergeCell ref="E22:I23"/>
    <mergeCell ref="J22:J23"/>
    <mergeCell ref="Q33:Q34"/>
    <mergeCell ref="E41:I41"/>
    <mergeCell ref="A42:A44"/>
    <mergeCell ref="B42:B44"/>
    <mergeCell ref="C42:C44"/>
    <mergeCell ref="D42:D44"/>
    <mergeCell ref="E42:I42"/>
    <mergeCell ref="B33:B39"/>
    <mergeCell ref="C33:C39"/>
    <mergeCell ref="A45:A47"/>
    <mergeCell ref="B45:B47"/>
    <mergeCell ref="C45:C47"/>
    <mergeCell ref="D45:D47"/>
    <mergeCell ref="E45:I45"/>
    <mergeCell ref="E49:I49"/>
    <mergeCell ref="A50:A52"/>
    <mergeCell ref="B50:B52"/>
    <mergeCell ref="C50:C52"/>
    <mergeCell ref="D50:D52"/>
    <mergeCell ref="E50:I50"/>
    <mergeCell ref="E53:I53"/>
    <mergeCell ref="A57:A59"/>
    <mergeCell ref="B57:B59"/>
    <mergeCell ref="C57:C59"/>
    <mergeCell ref="D57:D59"/>
    <mergeCell ref="A53:A56"/>
    <mergeCell ref="B53:B56"/>
    <mergeCell ref="C53:C56"/>
    <mergeCell ref="D53:D56"/>
    <mergeCell ref="E57:I57"/>
    <mergeCell ref="E62:Q62"/>
    <mergeCell ref="E63:I63"/>
    <mergeCell ref="A64:A66"/>
    <mergeCell ref="B64:B66"/>
    <mergeCell ref="C64:C66"/>
    <mergeCell ref="D64:D66"/>
    <mergeCell ref="E64:I64"/>
    <mergeCell ref="A67:A69"/>
    <mergeCell ref="B67:B69"/>
    <mergeCell ref="C67:C69"/>
    <mergeCell ref="D67:D69"/>
    <mergeCell ref="E67:I67"/>
    <mergeCell ref="A85:E85"/>
    <mergeCell ref="A86:E86"/>
    <mergeCell ref="A80:D80"/>
    <mergeCell ref="A81:D81"/>
    <mergeCell ref="A82:D82"/>
    <mergeCell ref="A83:E83"/>
    <mergeCell ref="A84:E84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2" manualBreakCount="2">
    <brk id="21" max="17" man="1"/>
    <brk id="55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Normal="100" workbookViewId="0">
      <pane ySplit="11" topLeftCell="A12" activePane="bottomLeft" state="frozen"/>
      <selection pane="bottomLeft" activeCell="J20" sqref="J20"/>
    </sheetView>
  </sheetViews>
  <sheetFormatPr defaultColWidth="9.140625" defaultRowHeight="12.75" x14ac:dyDescent="0.2"/>
  <cols>
    <col min="1" max="2" width="5" style="11" customWidth="1"/>
    <col min="3" max="4" width="5" style="9" customWidth="1"/>
    <col min="5" max="5" width="17.7109375" style="9" customWidth="1"/>
    <col min="6" max="6" width="13" style="9" customWidth="1"/>
    <col min="7" max="7" width="13" style="10" customWidth="1"/>
    <col min="8" max="9" width="13" style="9" customWidth="1"/>
    <col min="10" max="11" width="24.7109375" style="9" customWidth="1"/>
    <col min="12" max="12" width="49.7109375" style="9" customWidth="1"/>
    <col min="13" max="16" width="6.28515625" style="9" customWidth="1"/>
    <col min="17" max="17" width="32.7109375" style="9" customWidth="1"/>
    <col min="18" max="18" width="11.7109375" style="55" hidden="1" customWidth="1"/>
    <col min="19" max="19" width="10" style="9" hidden="1" customWidth="1"/>
    <col min="20" max="20" width="46.7109375" style="9" bestFit="1" customWidth="1"/>
    <col min="21" max="16384" width="9.140625" style="9"/>
  </cols>
  <sheetData>
    <row r="1" spans="1:19" x14ac:dyDescent="0.2">
      <c r="Q1" s="9" t="str">
        <f>'001'!Q1</f>
        <v>PATVIRTINTA</v>
      </c>
    </row>
    <row r="2" spans="1:19" x14ac:dyDescent="0.2">
      <c r="Q2" s="9" t="str">
        <f>'001'!Q2</f>
        <v>Plungės rajono savivaldybės tarybos</v>
      </c>
    </row>
    <row r="3" spans="1:19" x14ac:dyDescent="0.2">
      <c r="Q3" s="9" t="str">
        <f>'001'!Q3</f>
        <v>2025 m. vasario 13 d. sprendimu Nr.T1-</v>
      </c>
    </row>
    <row r="4" spans="1:19" x14ac:dyDescent="0.2">
      <c r="Q4" s="9" t="str">
        <f>'001'!Q4</f>
        <v xml:space="preserve">Plungės rajono savivaldybės </v>
      </c>
    </row>
    <row r="5" spans="1:19" x14ac:dyDescent="0.2">
      <c r="L5" s="52"/>
      <c r="Q5" s="9" t="str">
        <f>'001'!Q5</f>
        <v>2025–2027 metų  strateginio veiklos plano</v>
      </c>
    </row>
    <row r="6" spans="1:19" x14ac:dyDescent="0.2">
      <c r="L6" s="52"/>
      <c r="Q6" s="9" t="s">
        <v>375</v>
      </c>
    </row>
    <row r="7" spans="1:19" x14ac:dyDescent="0.2">
      <c r="H7" s="52"/>
    </row>
    <row r="8" spans="1:19" x14ac:dyDescent="0.2">
      <c r="A8" s="506" t="s">
        <v>1024</v>
      </c>
      <c r="B8" s="506"/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96" t="s">
        <v>284</v>
      </c>
      <c r="R8" s="66"/>
    </row>
    <row r="9" spans="1:19" ht="26.25" customHeight="1" x14ac:dyDescent="0.2">
      <c r="A9" s="448" t="str">
        <f>'001'!A9:R11</f>
        <v>Kodas</v>
      </c>
      <c r="B9" s="448"/>
      <c r="C9" s="448"/>
      <c r="D9" s="473" t="str">
        <f>'001'!D9:D10</f>
        <v>Uždavinio/ priemonės požymis *</v>
      </c>
      <c r="E9" s="448" t="str">
        <f>'001'!E9:E10</f>
        <v>Programos tikslo/uždavinio/priemonės pavadinimas ir finansavimo šaltiniai</v>
      </c>
      <c r="F9" s="448" t="str">
        <f>'001'!F9:F10</f>
        <v>2024-ųjų m. asignavimai ir kitos lėšos (2024-12-31 datai)</v>
      </c>
      <c r="G9" s="472" t="str">
        <f>'001'!G9:G10</f>
        <v>2025-ųjų m. asignavimai ir kitos lėšos</v>
      </c>
      <c r="H9" s="448" t="str">
        <f>'001'!H9:H10</f>
        <v>Planuojami   2026-ųjų m. asignavimai ir kitos lėšos</v>
      </c>
      <c r="I9" s="448" t="str">
        <f>'001'!I9:I10</f>
        <v>Planuojami  2027-ųjų m. asignavimai ir kitos lėšos</v>
      </c>
      <c r="J9" s="448" t="str">
        <f>'001'!J9:J10</f>
        <v>Savivaldybės strateginio plėtros plano tikslo/uždavinio kodas**</v>
      </c>
      <c r="K9" s="448" t="str">
        <f>'001'!K9:K10</f>
        <v>Stebėsenos rodiklio kodas</v>
      </c>
      <c r="L9" s="447" t="str">
        <f>'001'!L9:M9</f>
        <v>Stebėsenos rodiklio</v>
      </c>
      <c r="M9" s="447"/>
      <c r="N9" s="447" t="str">
        <f>'001'!N9:P9</f>
        <v>Siektinos stebėsenos rodiklių reikšmės</v>
      </c>
      <c r="O9" s="447"/>
      <c r="P9" s="447"/>
      <c r="Q9" s="447" t="str">
        <f>'001'!Q9:Q10</f>
        <v>Savivaldybės strateginio plėtros plano rodiklio kodas**</v>
      </c>
      <c r="R9" s="471" t="str">
        <f>'001'!R9:R10</f>
        <v>Asignavimų skirtumas (2024 m.- 2025 m.)</v>
      </c>
    </row>
    <row r="10" spans="1:19" ht="82.5" customHeight="1" x14ac:dyDescent="0.2">
      <c r="A10" s="71" t="str">
        <f>'001'!A10</f>
        <v>tikslo</v>
      </c>
      <c r="B10" s="71" t="str">
        <f>'001'!B10</f>
        <v>uždavinio</v>
      </c>
      <c r="C10" s="71" t="str">
        <f>'001'!C10</f>
        <v>priemonės</v>
      </c>
      <c r="D10" s="473"/>
      <c r="E10" s="448"/>
      <c r="F10" s="448"/>
      <c r="G10" s="472"/>
      <c r="H10" s="448"/>
      <c r="I10" s="448"/>
      <c r="J10" s="448"/>
      <c r="K10" s="448"/>
      <c r="L10" s="76" t="str">
        <f>'001'!L10</f>
        <v>pavadinimas</v>
      </c>
      <c r="M10" s="76" t="str">
        <f>'001'!M10</f>
        <v>mato vnt.</v>
      </c>
      <c r="N10" s="76">
        <f>'001'!N10</f>
        <v>2025</v>
      </c>
      <c r="O10" s="76">
        <f>'001'!O10</f>
        <v>2026</v>
      </c>
      <c r="P10" s="76">
        <f>'001'!P10</f>
        <v>2027</v>
      </c>
      <c r="Q10" s="447"/>
      <c r="R10" s="471"/>
      <c r="S10" s="61"/>
    </row>
    <row r="11" spans="1:19" ht="12.75" customHeight="1" x14ac:dyDescent="0.2">
      <c r="A11" s="49">
        <f>'001'!A11</f>
        <v>1</v>
      </c>
      <c r="B11" s="49">
        <f>'001'!B11</f>
        <v>2</v>
      </c>
      <c r="C11" s="49">
        <f>'001'!C11</f>
        <v>3</v>
      </c>
      <c r="D11" s="49">
        <f>'001'!D11</f>
        <v>4</v>
      </c>
      <c r="E11" s="49">
        <f>'001'!E11</f>
        <v>5</v>
      </c>
      <c r="F11" s="49">
        <f>'001'!F11</f>
        <v>6</v>
      </c>
      <c r="G11" s="50">
        <f>'001'!G11</f>
        <v>7</v>
      </c>
      <c r="H11" s="49">
        <f>'001'!H11</f>
        <v>8</v>
      </c>
      <c r="I11" s="49">
        <f>'001'!I11</f>
        <v>9</v>
      </c>
      <c r="J11" s="49">
        <f>'001'!J11</f>
        <v>10</v>
      </c>
      <c r="K11" s="49">
        <f>'001'!K11</f>
        <v>11</v>
      </c>
      <c r="L11" s="49">
        <f>'001'!L11</f>
        <v>12</v>
      </c>
      <c r="M11" s="49">
        <f>'001'!M11</f>
        <v>13</v>
      </c>
      <c r="N11" s="49">
        <f>'001'!N11</f>
        <v>14</v>
      </c>
      <c r="O11" s="49">
        <f>'001'!O11</f>
        <v>15</v>
      </c>
      <c r="P11" s="49">
        <f>'001'!P11</f>
        <v>16</v>
      </c>
      <c r="Q11" s="49">
        <f>'001'!Q11</f>
        <v>17</v>
      </c>
      <c r="R11" s="49">
        <f>'001'!R11</f>
        <v>18</v>
      </c>
      <c r="S11" s="61"/>
    </row>
    <row r="12" spans="1:19" s="74" customFormat="1" x14ac:dyDescent="0.2">
      <c r="A12" s="156" t="s">
        <v>0</v>
      </c>
      <c r="B12" s="48"/>
      <c r="C12" s="48"/>
      <c r="D12" s="48"/>
      <c r="E12" s="508" t="s">
        <v>1003</v>
      </c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236"/>
      <c r="S12" s="237"/>
    </row>
    <row r="13" spans="1:19" s="74" customFormat="1" ht="25.5" x14ac:dyDescent="0.2">
      <c r="A13" s="484" t="s">
        <v>0</v>
      </c>
      <c r="B13" s="507" t="s">
        <v>0</v>
      </c>
      <c r="C13" s="504"/>
      <c r="D13" s="504" t="s">
        <v>18</v>
      </c>
      <c r="E13" s="505" t="s">
        <v>374</v>
      </c>
      <c r="F13" s="505"/>
      <c r="G13" s="505"/>
      <c r="H13" s="505"/>
      <c r="I13" s="505"/>
      <c r="J13" s="504" t="s">
        <v>968</v>
      </c>
      <c r="K13" s="35" t="s">
        <v>373</v>
      </c>
      <c r="L13" s="35" t="s">
        <v>372</v>
      </c>
      <c r="M13" s="35" t="s">
        <v>11</v>
      </c>
      <c r="N13" s="163">
        <v>110</v>
      </c>
      <c r="O13" s="163">
        <v>110</v>
      </c>
      <c r="P13" s="163">
        <v>110</v>
      </c>
      <c r="Q13" s="509" t="s">
        <v>969</v>
      </c>
      <c r="R13" s="236"/>
      <c r="S13" s="238"/>
    </row>
    <row r="14" spans="1:19" s="74" customFormat="1" ht="25.5" x14ac:dyDescent="0.2">
      <c r="A14" s="484"/>
      <c r="B14" s="507"/>
      <c r="C14" s="504"/>
      <c r="D14" s="504"/>
      <c r="E14" s="505"/>
      <c r="F14" s="505"/>
      <c r="G14" s="505"/>
      <c r="H14" s="505"/>
      <c r="I14" s="505"/>
      <c r="J14" s="504"/>
      <c r="K14" s="35" t="s">
        <v>371</v>
      </c>
      <c r="L14" s="35" t="s">
        <v>370</v>
      </c>
      <c r="M14" s="35" t="s">
        <v>11</v>
      </c>
      <c r="N14" s="163">
        <v>110</v>
      </c>
      <c r="O14" s="163">
        <v>110</v>
      </c>
      <c r="P14" s="163">
        <v>110</v>
      </c>
      <c r="Q14" s="509"/>
      <c r="R14" s="236"/>
      <c r="S14" s="238"/>
    </row>
    <row r="15" spans="1:19" s="74" customFormat="1" ht="25.5" x14ac:dyDescent="0.2">
      <c r="A15" s="484"/>
      <c r="B15" s="507"/>
      <c r="C15" s="504"/>
      <c r="D15" s="504"/>
      <c r="E15" s="505"/>
      <c r="F15" s="505"/>
      <c r="G15" s="505"/>
      <c r="H15" s="505"/>
      <c r="I15" s="505"/>
      <c r="J15" s="504"/>
      <c r="K15" s="35" t="s">
        <v>369</v>
      </c>
      <c r="L15" s="35" t="s">
        <v>368</v>
      </c>
      <c r="M15" s="35" t="s">
        <v>11</v>
      </c>
      <c r="N15" s="163">
        <v>110</v>
      </c>
      <c r="O15" s="163">
        <v>110</v>
      </c>
      <c r="P15" s="163">
        <v>110</v>
      </c>
      <c r="Q15" s="509"/>
      <c r="R15" s="236"/>
      <c r="S15" s="238"/>
    </row>
    <row r="16" spans="1:19" s="74" customFormat="1" ht="25.5" customHeight="1" x14ac:dyDescent="0.2">
      <c r="A16" s="484" t="s">
        <v>0</v>
      </c>
      <c r="B16" s="500" t="s">
        <v>0</v>
      </c>
      <c r="C16" s="480" t="s">
        <v>0</v>
      </c>
      <c r="D16" s="480" t="s">
        <v>21</v>
      </c>
      <c r="E16" s="510" t="s">
        <v>367</v>
      </c>
      <c r="F16" s="511"/>
      <c r="G16" s="511"/>
      <c r="H16" s="511"/>
      <c r="I16" s="512"/>
      <c r="J16" s="519" t="s">
        <v>19</v>
      </c>
      <c r="K16" s="34" t="s">
        <v>366</v>
      </c>
      <c r="L16" s="72" t="s">
        <v>1004</v>
      </c>
      <c r="M16" s="34" t="s">
        <v>566</v>
      </c>
      <c r="N16" s="159">
        <v>5</v>
      </c>
      <c r="O16" s="239">
        <v>6</v>
      </c>
      <c r="P16" s="239">
        <v>7</v>
      </c>
      <c r="Q16" s="239" t="s">
        <v>19</v>
      </c>
      <c r="R16" s="236"/>
      <c r="S16" s="238"/>
    </row>
    <row r="17" spans="1:19" s="74" customFormat="1" ht="12.75" customHeight="1" x14ac:dyDescent="0.2">
      <c r="A17" s="484"/>
      <c r="B17" s="500"/>
      <c r="C17" s="480"/>
      <c r="D17" s="480"/>
      <c r="E17" s="513"/>
      <c r="F17" s="514"/>
      <c r="G17" s="514"/>
      <c r="H17" s="514"/>
      <c r="I17" s="515"/>
      <c r="J17" s="520"/>
      <c r="K17" s="34" t="s">
        <v>365</v>
      </c>
      <c r="L17" s="72" t="s">
        <v>364</v>
      </c>
      <c r="M17" s="34" t="s">
        <v>12</v>
      </c>
      <c r="N17" s="159">
        <v>8</v>
      </c>
      <c r="O17" s="239">
        <v>9</v>
      </c>
      <c r="P17" s="239">
        <v>10</v>
      </c>
      <c r="Q17" s="239" t="s">
        <v>19</v>
      </c>
      <c r="R17" s="236"/>
      <c r="S17" s="237"/>
    </row>
    <row r="18" spans="1:19" s="74" customFormat="1" ht="12.75" customHeight="1" x14ac:dyDescent="0.2">
      <c r="A18" s="484"/>
      <c r="B18" s="500"/>
      <c r="C18" s="480"/>
      <c r="D18" s="480"/>
      <c r="E18" s="513"/>
      <c r="F18" s="514"/>
      <c r="G18" s="514"/>
      <c r="H18" s="514"/>
      <c r="I18" s="515"/>
      <c r="J18" s="520"/>
      <c r="K18" s="34" t="s">
        <v>363</v>
      </c>
      <c r="L18" s="34" t="s">
        <v>362</v>
      </c>
      <c r="M18" s="34" t="s">
        <v>12</v>
      </c>
      <c r="N18" s="159">
        <v>4</v>
      </c>
      <c r="O18" s="239">
        <v>4</v>
      </c>
      <c r="P18" s="239">
        <v>5</v>
      </c>
      <c r="Q18" s="239" t="s">
        <v>19</v>
      </c>
      <c r="R18" s="64"/>
      <c r="S18" s="237"/>
    </row>
    <row r="19" spans="1:19" s="74" customFormat="1" ht="27" customHeight="1" x14ac:dyDescent="0.2">
      <c r="A19" s="484"/>
      <c r="B19" s="500"/>
      <c r="C19" s="480"/>
      <c r="D19" s="480"/>
      <c r="E19" s="516"/>
      <c r="F19" s="517"/>
      <c r="G19" s="517"/>
      <c r="H19" s="517"/>
      <c r="I19" s="518"/>
      <c r="J19" s="521"/>
      <c r="K19" s="34" t="s">
        <v>1022</v>
      </c>
      <c r="L19" s="34" t="s">
        <v>1021</v>
      </c>
      <c r="M19" s="34" t="s">
        <v>566</v>
      </c>
      <c r="N19" s="411">
        <v>20</v>
      </c>
      <c r="O19" s="239">
        <v>20</v>
      </c>
      <c r="P19" s="239">
        <v>20</v>
      </c>
      <c r="Q19" s="239" t="s">
        <v>19</v>
      </c>
      <c r="R19" s="64"/>
      <c r="S19" s="237"/>
    </row>
    <row r="20" spans="1:19" s="74" customFormat="1" x14ac:dyDescent="0.2">
      <c r="A20" s="484"/>
      <c r="B20" s="500"/>
      <c r="C20" s="480"/>
      <c r="D20" s="480"/>
      <c r="E20" s="155" t="s">
        <v>14</v>
      </c>
      <c r="F20" s="32">
        <v>2.2000000000000002</v>
      </c>
      <c r="G20" s="32">
        <v>35</v>
      </c>
      <c r="H20" s="106">
        <f>ROUND(G20*Lapas1!$B$1, 1)</f>
        <v>37.799999999999997</v>
      </c>
      <c r="I20" s="106">
        <f>ROUND(H20*Lapas1!$B$1, 1)</f>
        <v>40.799999999999997</v>
      </c>
      <c r="J20" s="45"/>
      <c r="K20" s="45"/>
      <c r="L20" s="26"/>
      <c r="M20" s="26"/>
      <c r="N20" s="25"/>
      <c r="O20" s="25"/>
      <c r="P20" s="26"/>
      <c r="Q20" s="26"/>
      <c r="R20" s="236"/>
      <c r="S20" s="237"/>
    </row>
    <row r="21" spans="1:19" s="74" customFormat="1" x14ac:dyDescent="0.2">
      <c r="A21" s="484"/>
      <c r="B21" s="500"/>
      <c r="C21" s="480"/>
      <c r="D21" s="480"/>
      <c r="E21" s="155" t="s">
        <v>15</v>
      </c>
      <c r="F21" s="32">
        <v>218.7</v>
      </c>
      <c r="G21" s="32">
        <f>203.2+20</f>
        <v>223.2</v>
      </c>
      <c r="H21" s="106">
        <f>ROUND(G21*Lapas1!$B$2, 1)</f>
        <v>241.1</v>
      </c>
      <c r="I21" s="106">
        <f>ROUND(H21*Lapas1!$B$2, 1)</f>
        <v>260.39999999999998</v>
      </c>
      <c r="J21" s="45"/>
      <c r="K21" s="45"/>
      <c r="L21" s="26"/>
      <c r="M21" s="26"/>
      <c r="N21" s="25"/>
      <c r="O21" s="25"/>
      <c r="P21" s="26"/>
      <c r="Q21" s="26"/>
      <c r="R21" s="236"/>
      <c r="S21" s="237"/>
    </row>
    <row r="22" spans="1:19" s="74" customFormat="1" x14ac:dyDescent="0.2">
      <c r="A22" s="484"/>
      <c r="B22" s="500"/>
      <c r="C22" s="480"/>
      <c r="D22" s="480"/>
      <c r="E22" s="30" t="s">
        <v>22</v>
      </c>
      <c r="F22" s="17">
        <f>SUM(F20:F21)</f>
        <v>220.89999999999998</v>
      </c>
      <c r="G22" s="29">
        <f>SUM(G20:G21)</f>
        <v>258.2</v>
      </c>
      <c r="H22" s="17">
        <f>SUM(H20:H21)</f>
        <v>278.89999999999998</v>
      </c>
      <c r="I22" s="17">
        <f>SUM(I20:I21)</f>
        <v>301.2</v>
      </c>
      <c r="J22" s="45"/>
      <c r="K22" s="45"/>
      <c r="L22" s="26"/>
      <c r="M22" s="26"/>
      <c r="N22" s="25"/>
      <c r="O22" s="25"/>
      <c r="P22" s="26"/>
      <c r="Q22" s="26"/>
      <c r="R22" s="43">
        <f>(G22-F22)/F22</f>
        <v>0.16885468537799916</v>
      </c>
      <c r="S22" s="237"/>
    </row>
    <row r="23" spans="1:19" s="74" customFormat="1" ht="25.5" x14ac:dyDescent="0.2">
      <c r="A23" s="484" t="s">
        <v>0</v>
      </c>
      <c r="B23" s="485" t="s">
        <v>0</v>
      </c>
      <c r="C23" s="479" t="s">
        <v>10</v>
      </c>
      <c r="D23" s="479" t="s">
        <v>21</v>
      </c>
      <c r="E23" s="481" t="s">
        <v>361</v>
      </c>
      <c r="F23" s="481"/>
      <c r="G23" s="481"/>
      <c r="H23" s="481"/>
      <c r="I23" s="481"/>
      <c r="J23" s="486" t="s">
        <v>19</v>
      </c>
      <c r="K23" s="34" t="s">
        <v>360</v>
      </c>
      <c r="L23" s="34" t="s">
        <v>359</v>
      </c>
      <c r="M23" s="34" t="s">
        <v>12</v>
      </c>
      <c r="N23" s="159">
        <v>3</v>
      </c>
      <c r="O23" s="159">
        <v>3</v>
      </c>
      <c r="P23" s="159">
        <v>3</v>
      </c>
      <c r="Q23" s="159" t="s">
        <v>19</v>
      </c>
      <c r="R23" s="236"/>
      <c r="S23" s="237"/>
    </row>
    <row r="24" spans="1:19" s="74" customFormat="1" x14ac:dyDescent="0.2">
      <c r="A24" s="484"/>
      <c r="B24" s="485"/>
      <c r="C24" s="479"/>
      <c r="D24" s="479"/>
      <c r="E24" s="481"/>
      <c r="F24" s="481"/>
      <c r="G24" s="481"/>
      <c r="H24" s="481"/>
      <c r="I24" s="481"/>
      <c r="J24" s="486"/>
      <c r="K24" s="34" t="s">
        <v>358</v>
      </c>
      <c r="L24" s="34" t="s">
        <v>357</v>
      </c>
      <c r="M24" s="34" t="s">
        <v>12</v>
      </c>
      <c r="N24" s="159">
        <v>2</v>
      </c>
      <c r="O24" s="159">
        <v>3</v>
      </c>
      <c r="P24" s="159">
        <v>4</v>
      </c>
      <c r="Q24" s="159" t="s">
        <v>19</v>
      </c>
      <c r="R24" s="236"/>
      <c r="S24" s="237"/>
    </row>
    <row r="25" spans="1:19" s="74" customFormat="1" x14ac:dyDescent="0.2">
      <c r="A25" s="484"/>
      <c r="B25" s="485"/>
      <c r="C25" s="479"/>
      <c r="D25" s="479"/>
      <c r="E25" s="155" t="s">
        <v>14</v>
      </c>
      <c r="F25" s="31">
        <v>73</v>
      </c>
      <c r="G25" s="32">
        <v>60.8</v>
      </c>
      <c r="H25" s="106">
        <f>ROUND(G25*Lapas1!$B$1, 1)</f>
        <v>65.7</v>
      </c>
      <c r="I25" s="106">
        <f>ROUND(H25*Lapas1!$B$1, 1)</f>
        <v>71</v>
      </c>
      <c r="J25" s="45"/>
      <c r="K25" s="27"/>
      <c r="L25" s="44"/>
      <c r="M25" s="44"/>
      <c r="N25" s="25"/>
      <c r="O25" s="25"/>
      <c r="P25" s="240"/>
      <c r="Q25" s="240"/>
      <c r="R25" s="236"/>
      <c r="S25" s="237"/>
    </row>
    <row r="26" spans="1:19" s="74" customFormat="1" x14ac:dyDescent="0.2">
      <c r="A26" s="484"/>
      <c r="B26" s="485"/>
      <c r="C26" s="479"/>
      <c r="D26" s="479"/>
      <c r="E26" s="30" t="s">
        <v>22</v>
      </c>
      <c r="F26" s="28">
        <f>SUM(F25)</f>
        <v>73</v>
      </c>
      <c r="G26" s="29">
        <f>SUM(G25)</f>
        <v>60.8</v>
      </c>
      <c r="H26" s="17">
        <f>SUM(H25)</f>
        <v>65.7</v>
      </c>
      <c r="I26" s="17">
        <f>SUM(I25)</f>
        <v>71</v>
      </c>
      <c r="J26" s="45"/>
      <c r="K26" s="27"/>
      <c r="L26" s="44"/>
      <c r="M26" s="44"/>
      <c r="N26" s="25"/>
      <c r="O26" s="25"/>
      <c r="P26" s="240"/>
      <c r="Q26" s="240"/>
      <c r="R26" s="43">
        <f>(G26-F26)/F26</f>
        <v>-0.16712328767123291</v>
      </c>
      <c r="S26" s="237"/>
    </row>
    <row r="27" spans="1:19" s="74" customFormat="1" x14ac:dyDescent="0.2">
      <c r="A27" s="484" t="s">
        <v>0</v>
      </c>
      <c r="B27" s="485" t="s">
        <v>0</v>
      </c>
      <c r="C27" s="479" t="s">
        <v>24</v>
      </c>
      <c r="D27" s="479" t="s">
        <v>78</v>
      </c>
      <c r="E27" s="501" t="s">
        <v>356</v>
      </c>
      <c r="F27" s="501"/>
      <c r="G27" s="501"/>
      <c r="H27" s="501"/>
      <c r="I27" s="501"/>
      <c r="J27" s="486" t="s">
        <v>355</v>
      </c>
      <c r="K27" s="34" t="s">
        <v>354</v>
      </c>
      <c r="L27" s="34" t="s">
        <v>353</v>
      </c>
      <c r="M27" s="34" t="s">
        <v>12</v>
      </c>
      <c r="N27" s="159">
        <v>0</v>
      </c>
      <c r="O27" s="159">
        <v>1</v>
      </c>
      <c r="P27" s="159">
        <v>2</v>
      </c>
      <c r="Q27" s="502" t="s">
        <v>377</v>
      </c>
      <c r="R27" s="236"/>
      <c r="S27" s="237"/>
    </row>
    <row r="28" spans="1:19" s="74" customFormat="1" ht="25.5" x14ac:dyDescent="0.2">
      <c r="A28" s="484"/>
      <c r="B28" s="485"/>
      <c r="C28" s="479"/>
      <c r="D28" s="479"/>
      <c r="E28" s="501"/>
      <c r="F28" s="501"/>
      <c r="G28" s="501"/>
      <c r="H28" s="501"/>
      <c r="I28" s="501"/>
      <c r="J28" s="486"/>
      <c r="K28" s="34" t="s">
        <v>352</v>
      </c>
      <c r="L28" s="34" t="s">
        <v>351</v>
      </c>
      <c r="M28" s="34" t="s">
        <v>12</v>
      </c>
      <c r="N28" s="309">
        <v>6</v>
      </c>
      <c r="O28" s="309">
        <v>6</v>
      </c>
      <c r="P28" s="309">
        <v>6</v>
      </c>
      <c r="Q28" s="502"/>
      <c r="R28" s="236"/>
      <c r="S28" s="237"/>
    </row>
    <row r="29" spans="1:19" s="74" customFormat="1" x14ac:dyDescent="0.2">
      <c r="A29" s="484"/>
      <c r="B29" s="485"/>
      <c r="C29" s="479"/>
      <c r="D29" s="479"/>
      <c r="E29" s="155" t="s">
        <v>14</v>
      </c>
      <c r="F29" s="31">
        <v>62.6</v>
      </c>
      <c r="G29" s="32">
        <v>89.2</v>
      </c>
      <c r="H29" s="106">
        <f>ROUND(G29*Lapas1!$B$1, 1)</f>
        <v>96.3</v>
      </c>
      <c r="I29" s="106">
        <f>ROUND(H29*Lapas1!$B$1, 1)</f>
        <v>104</v>
      </c>
      <c r="J29" s="45"/>
      <c r="K29" s="27"/>
      <c r="L29" s="44"/>
      <c r="M29" s="44"/>
      <c r="N29" s="25"/>
      <c r="O29" s="25"/>
      <c r="P29" s="240"/>
      <c r="Q29" s="240"/>
      <c r="R29" s="236"/>
      <c r="S29" s="237"/>
    </row>
    <row r="30" spans="1:19" s="74" customFormat="1" x14ac:dyDescent="0.2">
      <c r="A30" s="484"/>
      <c r="B30" s="485"/>
      <c r="C30" s="479"/>
      <c r="D30" s="479"/>
      <c r="E30" s="30" t="s">
        <v>22</v>
      </c>
      <c r="F30" s="28">
        <f>SUM(F29)</f>
        <v>62.6</v>
      </c>
      <c r="G30" s="29">
        <f>SUM(G29)</f>
        <v>89.2</v>
      </c>
      <c r="H30" s="17">
        <f>SUM(H29)</f>
        <v>96.3</v>
      </c>
      <c r="I30" s="17">
        <f>SUM(I29)</f>
        <v>104</v>
      </c>
      <c r="J30" s="45"/>
      <c r="K30" s="27"/>
      <c r="L30" s="44"/>
      <c r="M30" s="44"/>
      <c r="N30" s="25"/>
      <c r="O30" s="25"/>
      <c r="P30" s="240"/>
      <c r="Q30" s="240"/>
      <c r="R30" s="43">
        <f>(G30-F30)/F30</f>
        <v>0.42492012779552718</v>
      </c>
      <c r="S30" s="241">
        <f>(G30+G26-F26)/F26</f>
        <v>1.0547945205479452</v>
      </c>
    </row>
    <row r="31" spans="1:19" s="74" customFormat="1" ht="33.75" customHeight="1" x14ac:dyDescent="0.2">
      <c r="A31" s="484" t="s">
        <v>0</v>
      </c>
      <c r="B31" s="485" t="s">
        <v>0</v>
      </c>
      <c r="C31" s="479" t="s">
        <v>25</v>
      </c>
      <c r="D31" s="479" t="s">
        <v>21</v>
      </c>
      <c r="E31" s="481" t="s">
        <v>350</v>
      </c>
      <c r="F31" s="481"/>
      <c r="G31" s="481"/>
      <c r="H31" s="481"/>
      <c r="I31" s="481"/>
      <c r="J31" s="155" t="s">
        <v>19</v>
      </c>
      <c r="K31" s="34" t="s">
        <v>349</v>
      </c>
      <c r="L31" s="34" t="s">
        <v>1016</v>
      </c>
      <c r="M31" s="34" t="s">
        <v>12</v>
      </c>
      <c r="N31" s="159">
        <v>850</v>
      </c>
      <c r="O31" s="159">
        <v>935</v>
      </c>
      <c r="P31" s="159">
        <v>1028</v>
      </c>
      <c r="Q31" s="159" t="s">
        <v>19</v>
      </c>
      <c r="R31" s="236"/>
      <c r="S31" s="237"/>
    </row>
    <row r="32" spans="1:19" s="74" customFormat="1" x14ac:dyDescent="0.2">
      <c r="A32" s="484"/>
      <c r="B32" s="485"/>
      <c r="C32" s="479"/>
      <c r="D32" s="479"/>
      <c r="E32" s="155" t="s">
        <v>15</v>
      </c>
      <c r="F32" s="32">
        <v>16.207999999999998</v>
      </c>
      <c r="G32" s="32">
        <v>15.784000000000001</v>
      </c>
      <c r="H32" s="106">
        <f>ROUND(G32*Lapas1!$B$2, 1)</f>
        <v>17</v>
      </c>
      <c r="I32" s="106">
        <f>ROUND(H32*Lapas1!$B$2, 1)</f>
        <v>18.399999999999999</v>
      </c>
      <c r="J32" s="45"/>
      <c r="K32" s="27"/>
      <c r="L32" s="44"/>
      <c r="M32" s="44"/>
      <c r="N32" s="25"/>
      <c r="O32" s="25"/>
      <c r="P32" s="240"/>
      <c r="Q32" s="240"/>
      <c r="R32" s="236"/>
      <c r="S32" s="237"/>
    </row>
    <row r="33" spans="1:19" s="74" customFormat="1" x14ac:dyDescent="0.2">
      <c r="A33" s="484"/>
      <c r="B33" s="485"/>
      <c r="C33" s="479"/>
      <c r="D33" s="479"/>
      <c r="E33" s="30" t="s">
        <v>22</v>
      </c>
      <c r="F33" s="17">
        <f>SUM(F32)</f>
        <v>16.207999999999998</v>
      </c>
      <c r="G33" s="29">
        <f>SUM(G32)</f>
        <v>15.784000000000001</v>
      </c>
      <c r="H33" s="17">
        <f>SUM(H32)</f>
        <v>17</v>
      </c>
      <c r="I33" s="17">
        <f>SUM(I32)</f>
        <v>18.399999999999999</v>
      </c>
      <c r="J33" s="45"/>
      <c r="K33" s="27"/>
      <c r="L33" s="44"/>
      <c r="M33" s="44"/>
      <c r="N33" s="25"/>
      <c r="O33" s="25"/>
      <c r="P33" s="240"/>
      <c r="Q33" s="240"/>
      <c r="R33" s="43">
        <f>(G33-F33)/F33</f>
        <v>-2.6159921026653366E-2</v>
      </c>
      <c r="S33" s="237"/>
    </row>
    <row r="34" spans="1:19" s="74" customFormat="1" x14ac:dyDescent="0.2">
      <c r="A34" s="156" t="s">
        <v>0</v>
      </c>
      <c r="B34" s="162" t="s">
        <v>0</v>
      </c>
      <c r="C34" s="158"/>
      <c r="D34" s="158" t="s">
        <v>18</v>
      </c>
      <c r="E34" s="42" t="s">
        <v>275</v>
      </c>
      <c r="F34" s="40">
        <f>F22+F26+F33+F30</f>
        <v>372.70799999999997</v>
      </c>
      <c r="G34" s="41">
        <f>G22+G26+G33+G30</f>
        <v>423.98399999999998</v>
      </c>
      <c r="H34" s="40">
        <f>H22+H26+H33+H30</f>
        <v>457.9</v>
      </c>
      <c r="I34" s="40">
        <f>I22+I26+I33+I30</f>
        <v>494.59999999999997</v>
      </c>
      <c r="J34" s="169"/>
      <c r="K34" s="94"/>
      <c r="L34" s="94"/>
      <c r="M34" s="94"/>
      <c r="N34" s="93"/>
      <c r="O34" s="93"/>
      <c r="P34" s="93"/>
      <c r="Q34" s="93"/>
      <c r="R34" s="236"/>
      <c r="S34" s="237"/>
    </row>
    <row r="35" spans="1:19" s="74" customFormat="1" x14ac:dyDescent="0.2">
      <c r="A35" s="242" t="s">
        <v>0</v>
      </c>
      <c r="B35" s="39"/>
      <c r="C35" s="39"/>
      <c r="D35" s="39"/>
      <c r="E35" s="38" t="s">
        <v>276</v>
      </c>
      <c r="F35" s="36">
        <f>F34</f>
        <v>372.70799999999997</v>
      </c>
      <c r="G35" s="37">
        <f t="shared" ref="G35:I35" si="0">G34</f>
        <v>423.98399999999998</v>
      </c>
      <c r="H35" s="36">
        <f t="shared" si="0"/>
        <v>457.9</v>
      </c>
      <c r="I35" s="36">
        <f t="shared" si="0"/>
        <v>494.59999999999997</v>
      </c>
      <c r="J35" s="62"/>
      <c r="K35" s="243"/>
      <c r="L35" s="243"/>
      <c r="M35" s="243"/>
      <c r="N35" s="243"/>
      <c r="O35" s="243"/>
      <c r="P35" s="243"/>
      <c r="Q35" s="243"/>
      <c r="R35" s="236"/>
      <c r="S35" s="237"/>
    </row>
    <row r="36" spans="1:19" s="74" customFormat="1" x14ac:dyDescent="0.2">
      <c r="A36" s="49"/>
      <c r="B36" s="49"/>
      <c r="C36" s="49"/>
      <c r="D36" s="49"/>
      <c r="E36" s="23" t="s">
        <v>277</v>
      </c>
      <c r="F36" s="21">
        <f>F35</f>
        <v>372.70799999999997</v>
      </c>
      <c r="G36" s="22">
        <f>G35</f>
        <v>423.98399999999998</v>
      </c>
      <c r="H36" s="21">
        <f>H35</f>
        <v>457.9</v>
      </c>
      <c r="I36" s="21">
        <f>I35</f>
        <v>494.59999999999997</v>
      </c>
      <c r="J36" s="152"/>
      <c r="K36" s="244"/>
      <c r="L36" s="244"/>
      <c r="M36" s="244"/>
      <c r="N36" s="244"/>
      <c r="O36" s="244"/>
      <c r="P36" s="244"/>
      <c r="Q36" s="244"/>
      <c r="R36" s="236"/>
      <c r="S36" s="237"/>
    </row>
    <row r="37" spans="1:19" ht="40.5" customHeight="1" x14ac:dyDescent="0.2">
      <c r="A37" s="498" t="s">
        <v>876</v>
      </c>
      <c r="B37" s="498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9" ht="27" customHeight="1" x14ac:dyDescent="0.2">
      <c r="A38" s="444" t="s">
        <v>881</v>
      </c>
      <c r="B38" s="444"/>
      <c r="C38" s="444"/>
      <c r="D38" s="444"/>
      <c r="E38" s="444"/>
      <c r="F38" s="444"/>
      <c r="G38" s="444"/>
      <c r="H38" s="444"/>
      <c r="I38" s="444"/>
      <c r="J38" s="444"/>
      <c r="K38" s="444"/>
    </row>
    <row r="39" spans="1:19" x14ac:dyDescent="0.2">
      <c r="A39" s="20"/>
    </row>
    <row r="40" spans="1:19" x14ac:dyDescent="0.2">
      <c r="A40" s="503" t="s">
        <v>4</v>
      </c>
      <c r="B40" s="503"/>
      <c r="C40" s="503"/>
      <c r="D40" s="503"/>
      <c r="E40" s="503"/>
      <c r="F40" s="503"/>
      <c r="G40" s="503"/>
      <c r="H40" s="503"/>
      <c r="I40" s="503"/>
    </row>
    <row r="41" spans="1:19" ht="30.75" customHeight="1" x14ac:dyDescent="0.2">
      <c r="A41" s="475" t="s">
        <v>13</v>
      </c>
      <c r="B41" s="475"/>
      <c r="C41" s="475"/>
      <c r="D41" s="475"/>
      <c r="E41" s="75" t="s">
        <v>14</v>
      </c>
      <c r="F41" s="17">
        <f>F26+F20+F30</f>
        <v>137.80000000000001</v>
      </c>
      <c r="G41" s="29">
        <f t="shared" ref="G41:I41" si="1">G26+G20+G30</f>
        <v>185</v>
      </c>
      <c r="H41" s="17">
        <f t="shared" si="1"/>
        <v>199.8</v>
      </c>
      <c r="I41" s="17">
        <f t="shared" si="1"/>
        <v>215.8</v>
      </c>
    </row>
    <row r="42" spans="1:19" ht="30.75" customHeight="1" x14ac:dyDescent="0.2">
      <c r="A42" s="475" t="s">
        <v>20</v>
      </c>
      <c r="B42" s="475"/>
      <c r="C42" s="475"/>
      <c r="D42" s="475"/>
      <c r="E42" s="75" t="s">
        <v>15</v>
      </c>
      <c r="F42" s="17">
        <f>F33+F21</f>
        <v>234.90799999999999</v>
      </c>
      <c r="G42" s="29">
        <f>G33+G21</f>
        <v>238.98399999999998</v>
      </c>
      <c r="H42" s="17">
        <f>H33+H21</f>
        <v>258.10000000000002</v>
      </c>
      <c r="I42" s="17">
        <f>I33+I21</f>
        <v>278.79999999999995</v>
      </c>
    </row>
    <row r="43" spans="1:19" ht="51" customHeight="1" x14ac:dyDescent="0.2">
      <c r="A43" s="475" t="s">
        <v>348</v>
      </c>
      <c r="B43" s="475"/>
      <c r="C43" s="475"/>
      <c r="D43" s="475"/>
      <c r="E43" s="75" t="s">
        <v>17</v>
      </c>
      <c r="F43" s="17"/>
      <c r="G43" s="414"/>
      <c r="H43" s="59"/>
      <c r="I43" s="59"/>
    </row>
    <row r="44" spans="1:19" ht="30.75" customHeight="1" x14ac:dyDescent="0.2">
      <c r="A44" s="475" t="s">
        <v>347</v>
      </c>
      <c r="B44" s="475"/>
      <c r="C44" s="475"/>
      <c r="D44" s="475"/>
      <c r="E44" s="75" t="s">
        <v>269</v>
      </c>
      <c r="F44" s="17"/>
      <c r="G44" s="29"/>
      <c r="H44" s="17"/>
      <c r="I44" s="17"/>
    </row>
    <row r="45" spans="1:19" ht="30.75" customHeight="1" x14ac:dyDescent="0.2">
      <c r="A45" s="475" t="s">
        <v>288</v>
      </c>
      <c r="B45" s="475"/>
      <c r="C45" s="475"/>
      <c r="D45" s="475"/>
      <c r="E45" s="75" t="s">
        <v>18</v>
      </c>
      <c r="F45" s="65"/>
      <c r="G45" s="414"/>
      <c r="H45" s="59"/>
      <c r="I45" s="59"/>
    </row>
    <row r="46" spans="1:19" x14ac:dyDescent="0.2">
      <c r="A46" s="475" t="s">
        <v>179</v>
      </c>
      <c r="B46" s="475"/>
      <c r="C46" s="475"/>
      <c r="D46" s="475"/>
      <c r="E46" s="75" t="s">
        <v>170</v>
      </c>
      <c r="F46" s="65"/>
      <c r="G46" s="414"/>
      <c r="H46" s="59"/>
      <c r="I46" s="59"/>
    </row>
    <row r="47" spans="1:19" ht="24.75" customHeight="1" x14ac:dyDescent="0.2">
      <c r="A47" s="476" t="s">
        <v>3</v>
      </c>
      <c r="B47" s="476"/>
      <c r="C47" s="476"/>
      <c r="D47" s="476"/>
      <c r="E47" s="476"/>
      <c r="F47" s="53">
        <f>SUM(F41:F46)</f>
        <v>372.70799999999997</v>
      </c>
      <c r="G47" s="54">
        <f>SUM(G41:G46)</f>
        <v>423.98399999999998</v>
      </c>
      <c r="H47" s="53">
        <f>SUM(H41:H46)</f>
        <v>457.90000000000003</v>
      </c>
      <c r="I47" s="53">
        <f>SUM(I41:I46)</f>
        <v>494.59999999999997</v>
      </c>
    </row>
    <row r="48" spans="1:19" x14ac:dyDescent="0.2">
      <c r="A48" s="474" t="s">
        <v>7</v>
      </c>
      <c r="B48" s="474"/>
      <c r="C48" s="474"/>
      <c r="D48" s="474"/>
      <c r="E48" s="474"/>
      <c r="F48" s="16"/>
      <c r="G48" s="58"/>
      <c r="H48" s="16"/>
      <c r="I48" s="16"/>
    </row>
    <row r="49" spans="1:9" x14ac:dyDescent="0.2">
      <c r="A49" s="474" t="s">
        <v>5</v>
      </c>
      <c r="B49" s="474"/>
      <c r="C49" s="474"/>
      <c r="D49" s="474"/>
      <c r="E49" s="474"/>
      <c r="F49" s="16">
        <f>F30</f>
        <v>62.6</v>
      </c>
      <c r="G49" s="58">
        <f>G30</f>
        <v>89.2</v>
      </c>
      <c r="H49" s="16">
        <f>H30</f>
        <v>96.3</v>
      </c>
      <c r="I49" s="16">
        <f>I30</f>
        <v>104</v>
      </c>
    </row>
    <row r="50" spans="1:9" x14ac:dyDescent="0.2">
      <c r="A50" s="474" t="s">
        <v>6</v>
      </c>
      <c r="B50" s="474"/>
      <c r="C50" s="474"/>
      <c r="D50" s="474"/>
      <c r="E50" s="474"/>
      <c r="F50" s="16">
        <f>F22+F26+F33</f>
        <v>310.10799999999995</v>
      </c>
      <c r="G50" s="58">
        <f t="shared" ref="G50:I50" si="2">G22+G26+G33</f>
        <v>334.78399999999999</v>
      </c>
      <c r="H50" s="16">
        <f t="shared" si="2"/>
        <v>361.59999999999997</v>
      </c>
      <c r="I50" s="16">
        <f t="shared" si="2"/>
        <v>390.59999999999997</v>
      </c>
    </row>
    <row r="51" spans="1:9" x14ac:dyDescent="0.2">
      <c r="F51" s="14"/>
      <c r="G51" s="15"/>
      <c r="H51" s="11"/>
      <c r="I51" s="11"/>
    </row>
    <row r="52" spans="1:9" hidden="1" x14ac:dyDescent="0.2">
      <c r="D52" s="9" t="s">
        <v>23</v>
      </c>
      <c r="F52" s="12">
        <f>F47-F36</f>
        <v>0</v>
      </c>
      <c r="G52" s="13">
        <f>G47-G36</f>
        <v>0</v>
      </c>
      <c r="H52" s="12">
        <f>H47-H36</f>
        <v>0</v>
      </c>
      <c r="I52" s="12">
        <f>I47-I36</f>
        <v>0</v>
      </c>
    </row>
    <row r="53" spans="1:9" hidden="1" x14ac:dyDescent="0.2">
      <c r="F53" s="56">
        <f>F49+F50-F36</f>
        <v>0</v>
      </c>
      <c r="G53" s="57">
        <f>G49+G50-G36</f>
        <v>0</v>
      </c>
      <c r="H53" s="56">
        <f>H49+H50-H36</f>
        <v>0</v>
      </c>
      <c r="I53" s="56">
        <f>I49+I50-I36</f>
        <v>0</v>
      </c>
    </row>
  </sheetData>
  <mergeCells count="59">
    <mergeCell ref="A49:E49"/>
    <mergeCell ref="A50:E50"/>
    <mergeCell ref="A47:E47"/>
    <mergeCell ref="A48:E48"/>
    <mergeCell ref="E27:I28"/>
    <mergeCell ref="A31:A33"/>
    <mergeCell ref="B31:B33"/>
    <mergeCell ref="C31:C33"/>
    <mergeCell ref="D31:D33"/>
    <mergeCell ref="E31:I31"/>
    <mergeCell ref="A46:D46"/>
    <mergeCell ref="A38:K38"/>
    <mergeCell ref="R9:R10"/>
    <mergeCell ref="B13:B15"/>
    <mergeCell ref="J13:J15"/>
    <mergeCell ref="J23:J24"/>
    <mergeCell ref="E12:Q12"/>
    <mergeCell ref="Q9:Q10"/>
    <mergeCell ref="Q13:Q15"/>
    <mergeCell ref="E16:I19"/>
    <mergeCell ref="J16:J19"/>
    <mergeCell ref="A8:P8"/>
    <mergeCell ref="E9:E10"/>
    <mergeCell ref="F9:F10"/>
    <mergeCell ref="I9:I10"/>
    <mergeCell ref="G9:G10"/>
    <mergeCell ref="H9:H10"/>
    <mergeCell ref="J9:J10"/>
    <mergeCell ref="K9:K10"/>
    <mergeCell ref="L9:M9"/>
    <mergeCell ref="N9:P9"/>
    <mergeCell ref="A9:C9"/>
    <mergeCell ref="D9:D10"/>
    <mergeCell ref="A13:A15"/>
    <mergeCell ref="C13:C15"/>
    <mergeCell ref="D13:D15"/>
    <mergeCell ref="E13:I15"/>
    <mergeCell ref="A23:A26"/>
    <mergeCell ref="B23:B26"/>
    <mergeCell ref="C23:C26"/>
    <mergeCell ref="D23:D26"/>
    <mergeCell ref="E23:I24"/>
    <mergeCell ref="A16:A22"/>
    <mergeCell ref="B16:B22"/>
    <mergeCell ref="C16:C22"/>
    <mergeCell ref="D16:D22"/>
    <mergeCell ref="Q27:Q28"/>
    <mergeCell ref="A42:D42"/>
    <mergeCell ref="A43:D43"/>
    <mergeCell ref="A44:D44"/>
    <mergeCell ref="A45:D45"/>
    <mergeCell ref="A41:D41"/>
    <mergeCell ref="A27:A30"/>
    <mergeCell ref="B27:B30"/>
    <mergeCell ref="C27:C30"/>
    <mergeCell ref="D27:D30"/>
    <mergeCell ref="J27:J28"/>
    <mergeCell ref="A40:I40"/>
    <mergeCell ref="A37:K37"/>
  </mergeCell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rowBreaks count="1" manualBreakCount="1">
    <brk id="3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zoomScaleNormal="100" zoomScaleSheetLayoutView="85" workbookViewId="0">
      <pane ySplit="11" topLeftCell="A195" activePane="bottomLeft" state="frozen"/>
      <selection pane="bottomLeft" activeCell="L208" sqref="L208"/>
    </sheetView>
  </sheetViews>
  <sheetFormatPr defaultColWidth="9.140625" defaultRowHeight="12.75" x14ac:dyDescent="0.2"/>
  <cols>
    <col min="1" max="2" width="5" style="15" customWidth="1"/>
    <col min="3" max="4" width="5" style="10" customWidth="1"/>
    <col min="5" max="5" width="17.7109375" style="10" customWidth="1"/>
    <col min="6" max="9" width="13" style="10" customWidth="1"/>
    <col min="10" max="11" width="24.7109375" style="10" customWidth="1"/>
    <col min="12" max="12" width="49.7109375" style="10" customWidth="1"/>
    <col min="13" max="16" width="6.28515625" style="10" customWidth="1"/>
    <col min="17" max="17" width="32.7109375" style="10" customWidth="1"/>
    <col min="18" max="18" width="11.7109375" style="10" hidden="1" customWidth="1"/>
    <col min="19" max="19" width="9.140625" style="10" customWidth="1"/>
    <col min="20" max="16384" width="9.140625" style="10"/>
  </cols>
  <sheetData>
    <row r="1" spans="1:21" x14ac:dyDescent="0.2">
      <c r="L1" s="553"/>
      <c r="M1" s="553"/>
      <c r="N1" s="553"/>
      <c r="Q1" s="10" t="str">
        <f>'001'!Q1</f>
        <v>PATVIRTINTA</v>
      </c>
    </row>
    <row r="2" spans="1:21" x14ac:dyDescent="0.2">
      <c r="Q2" s="10" t="str">
        <f>'001'!Q2</f>
        <v>Plungės rajono savivaldybės tarybos</v>
      </c>
    </row>
    <row r="3" spans="1:21" x14ac:dyDescent="0.2">
      <c r="Q3" s="10" t="str">
        <f>'001'!Q3</f>
        <v>2025 m. vasario 13 d. sprendimu Nr.T1-</v>
      </c>
    </row>
    <row r="4" spans="1:21" x14ac:dyDescent="0.2">
      <c r="Q4" s="10" t="str">
        <f>'001'!Q4</f>
        <v xml:space="preserve">Plungės rajono savivaldybės </v>
      </c>
    </row>
    <row r="5" spans="1:21" x14ac:dyDescent="0.2">
      <c r="L5" s="52"/>
      <c r="Q5" s="10" t="str">
        <f>'001'!Q5</f>
        <v>2025–2027 metų  strateginio veiklos plano</v>
      </c>
    </row>
    <row r="6" spans="1:21" x14ac:dyDescent="0.2">
      <c r="L6" s="52"/>
      <c r="Q6" s="10" t="s">
        <v>536</v>
      </c>
    </row>
    <row r="7" spans="1:21" x14ac:dyDescent="0.2">
      <c r="L7" s="52"/>
    </row>
    <row r="8" spans="1:21" ht="12.75" customHeight="1" x14ac:dyDescent="0.2">
      <c r="A8" s="541" t="s">
        <v>1017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316" t="s">
        <v>284</v>
      </c>
      <c r="R8" s="317"/>
    </row>
    <row r="9" spans="1:21" ht="27" customHeight="1" x14ac:dyDescent="0.2">
      <c r="A9" s="472" t="str">
        <f>'001'!A9:R11</f>
        <v>Kodas</v>
      </c>
      <c r="B9" s="472"/>
      <c r="C9" s="472"/>
      <c r="D9" s="557" t="str">
        <f>'001'!D9:D10</f>
        <v>Uždavinio/ priemonės požymis *</v>
      </c>
      <c r="E9" s="472" t="str">
        <f>'001'!E9:E10</f>
        <v>Programos tikslo/uždavinio/priemonės pavadinimas ir finansavimo šaltiniai</v>
      </c>
      <c r="F9" s="472" t="str">
        <f>'001'!F9:F10</f>
        <v>2024-ųjų m. asignavimai ir kitos lėšos (2024-12-31 datai)</v>
      </c>
      <c r="G9" s="472" t="str">
        <f>'001'!G9:G10</f>
        <v>2025-ųjų m. asignavimai ir kitos lėšos</v>
      </c>
      <c r="H9" s="472" t="str">
        <f>'001'!H9:H10</f>
        <v>Planuojami   2026-ųjų m. asignavimai ir kitos lėšos</v>
      </c>
      <c r="I9" s="472" t="str">
        <f>'001'!I9:I10</f>
        <v>Planuojami  2027-ųjų m. asignavimai ir kitos lėšos</v>
      </c>
      <c r="J9" s="472" t="str">
        <f>'001'!J9:J10</f>
        <v>Savivaldybės strateginio plėtros plano tikslo/uždavinio kodas**</v>
      </c>
      <c r="K9" s="472" t="str">
        <f>'001'!K9:K10</f>
        <v>Stebėsenos rodiklio kodas</v>
      </c>
      <c r="L9" s="554" t="str">
        <f>'001'!L9:M9</f>
        <v>Stebėsenos rodiklio</v>
      </c>
      <c r="M9" s="554"/>
      <c r="N9" s="554" t="str">
        <f>'001'!N9:P9</f>
        <v>Siektinos stebėsenos rodiklių reikšmės</v>
      </c>
      <c r="O9" s="554"/>
      <c r="P9" s="554"/>
      <c r="Q9" s="554" t="str">
        <f>'001'!Q9:Q10</f>
        <v>Savivaldybės strateginio plėtros plano rodiklio kodas**</v>
      </c>
      <c r="R9" s="555" t="str">
        <f>'001'!R9:R10</f>
        <v>Asignavimų skirtumas (2024 m.- 2025 m.)</v>
      </c>
    </row>
    <row r="10" spans="1:21" ht="82.5" customHeight="1" x14ac:dyDescent="0.2">
      <c r="A10" s="318" t="str">
        <f>'001'!A10</f>
        <v>tikslo</v>
      </c>
      <c r="B10" s="318" t="str">
        <f>'001'!B10</f>
        <v>uždavinio</v>
      </c>
      <c r="C10" s="318" t="str">
        <f>'001'!C10</f>
        <v>priemonės</v>
      </c>
      <c r="D10" s="557"/>
      <c r="E10" s="472"/>
      <c r="F10" s="472"/>
      <c r="G10" s="472"/>
      <c r="H10" s="472"/>
      <c r="I10" s="472"/>
      <c r="J10" s="472"/>
      <c r="K10" s="472"/>
      <c r="L10" s="319" t="str">
        <f>'001'!L10</f>
        <v>pavadinimas</v>
      </c>
      <c r="M10" s="319" t="str">
        <f>'001'!M10</f>
        <v>mato vnt.</v>
      </c>
      <c r="N10" s="319">
        <f>'001'!N10</f>
        <v>2025</v>
      </c>
      <c r="O10" s="319">
        <f>'001'!O10</f>
        <v>2026</v>
      </c>
      <c r="P10" s="319">
        <f>'001'!P10</f>
        <v>2027</v>
      </c>
      <c r="Q10" s="554"/>
      <c r="R10" s="555"/>
    </row>
    <row r="11" spans="1:21" x14ac:dyDescent="0.2">
      <c r="A11" s="50">
        <f>'001'!A11</f>
        <v>1</v>
      </c>
      <c r="B11" s="50">
        <f>'001'!B11</f>
        <v>2</v>
      </c>
      <c r="C11" s="50">
        <f>'001'!C11</f>
        <v>3</v>
      </c>
      <c r="D11" s="50">
        <f>'001'!D11</f>
        <v>4</v>
      </c>
      <c r="E11" s="50">
        <f>'001'!E11</f>
        <v>5</v>
      </c>
      <c r="F11" s="50">
        <f>'001'!F11</f>
        <v>6</v>
      </c>
      <c r="G11" s="50">
        <f>'001'!G11</f>
        <v>7</v>
      </c>
      <c r="H11" s="50">
        <f>'001'!H11</f>
        <v>8</v>
      </c>
      <c r="I11" s="50">
        <f>'001'!I11</f>
        <v>9</v>
      </c>
      <c r="J11" s="50">
        <f>'001'!J11</f>
        <v>10</v>
      </c>
      <c r="K11" s="50">
        <f>'001'!K11</f>
        <v>11</v>
      </c>
      <c r="L11" s="50">
        <f>'001'!L11</f>
        <v>12</v>
      </c>
      <c r="M11" s="50">
        <f>'001'!M11</f>
        <v>13</v>
      </c>
      <c r="N11" s="50">
        <f>'001'!N11</f>
        <v>14</v>
      </c>
      <c r="O11" s="50">
        <f>'001'!O11</f>
        <v>15</v>
      </c>
      <c r="P11" s="50">
        <f>'001'!P11</f>
        <v>16</v>
      </c>
      <c r="Q11" s="50">
        <f>'001'!Q11</f>
        <v>17</v>
      </c>
      <c r="R11" s="50">
        <f>'001'!R11</f>
        <v>18</v>
      </c>
    </row>
    <row r="12" spans="1:21" s="323" customFormat="1" x14ac:dyDescent="0.2">
      <c r="A12" s="320" t="s">
        <v>0</v>
      </c>
      <c r="B12" s="321"/>
      <c r="C12" s="321"/>
      <c r="D12" s="321"/>
      <c r="E12" s="542" t="s">
        <v>535</v>
      </c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322"/>
    </row>
    <row r="13" spans="1:21" s="323" customFormat="1" ht="25.5" x14ac:dyDescent="0.2">
      <c r="A13" s="538" t="s">
        <v>0</v>
      </c>
      <c r="B13" s="543" t="s">
        <v>0</v>
      </c>
      <c r="C13" s="543"/>
      <c r="D13" s="543" t="s">
        <v>31</v>
      </c>
      <c r="E13" s="558" t="s">
        <v>945</v>
      </c>
      <c r="F13" s="558"/>
      <c r="G13" s="558"/>
      <c r="H13" s="558"/>
      <c r="I13" s="558"/>
      <c r="J13" s="543" t="s">
        <v>534</v>
      </c>
      <c r="K13" s="324" t="s">
        <v>533</v>
      </c>
      <c r="L13" s="324" t="s">
        <v>532</v>
      </c>
      <c r="M13" s="324" t="s">
        <v>11</v>
      </c>
      <c r="N13" s="308">
        <v>95</v>
      </c>
      <c r="O13" s="308">
        <v>95</v>
      </c>
      <c r="P13" s="308">
        <v>95</v>
      </c>
      <c r="Q13" s="556" t="s">
        <v>539</v>
      </c>
      <c r="R13" s="322"/>
      <c r="S13" s="325"/>
      <c r="T13" s="325"/>
      <c r="U13" s="325"/>
    </row>
    <row r="14" spans="1:21" s="323" customFormat="1" ht="25.5" x14ac:dyDescent="0.2">
      <c r="A14" s="538"/>
      <c r="B14" s="543"/>
      <c r="C14" s="543"/>
      <c r="D14" s="543"/>
      <c r="E14" s="558"/>
      <c r="F14" s="558"/>
      <c r="G14" s="558"/>
      <c r="H14" s="558"/>
      <c r="I14" s="558"/>
      <c r="J14" s="543"/>
      <c r="K14" s="324" t="s">
        <v>531</v>
      </c>
      <c r="L14" s="324" t="s">
        <v>530</v>
      </c>
      <c r="M14" s="324" t="s">
        <v>11</v>
      </c>
      <c r="N14" s="308">
        <v>0.1</v>
      </c>
      <c r="O14" s="308">
        <v>0.5</v>
      </c>
      <c r="P14" s="308">
        <v>0.5</v>
      </c>
      <c r="Q14" s="556"/>
      <c r="R14" s="322"/>
    </row>
    <row r="15" spans="1:21" s="323" customFormat="1" ht="13.5" customHeight="1" x14ac:dyDescent="0.2">
      <c r="A15" s="538" t="s">
        <v>0</v>
      </c>
      <c r="B15" s="539" t="s">
        <v>0</v>
      </c>
      <c r="C15" s="536" t="s">
        <v>0</v>
      </c>
      <c r="D15" s="536" t="s">
        <v>21</v>
      </c>
      <c r="E15" s="544" t="s">
        <v>529</v>
      </c>
      <c r="F15" s="545"/>
      <c r="G15" s="545"/>
      <c r="H15" s="545"/>
      <c r="I15" s="546"/>
      <c r="J15" s="326" t="s">
        <v>19</v>
      </c>
      <c r="K15" s="327" t="s">
        <v>528</v>
      </c>
      <c r="L15" s="95" t="s">
        <v>527</v>
      </c>
      <c r="M15" s="328" t="s">
        <v>35</v>
      </c>
      <c r="N15" s="248">
        <v>480</v>
      </c>
      <c r="O15" s="248">
        <v>480</v>
      </c>
      <c r="P15" s="248">
        <v>480</v>
      </c>
      <c r="Q15" s="248" t="s">
        <v>19</v>
      </c>
      <c r="R15" s="322"/>
    </row>
    <row r="16" spans="1:21" s="323" customFormat="1" ht="51" customHeight="1" x14ac:dyDescent="0.2">
      <c r="A16" s="538"/>
      <c r="B16" s="539"/>
      <c r="C16" s="536"/>
      <c r="D16" s="536"/>
      <c r="E16" s="550"/>
      <c r="F16" s="551"/>
      <c r="G16" s="551"/>
      <c r="H16" s="551"/>
      <c r="I16" s="552"/>
      <c r="J16" s="326" t="s">
        <v>19</v>
      </c>
      <c r="K16" s="327" t="s">
        <v>990</v>
      </c>
      <c r="L16" s="95" t="s">
        <v>989</v>
      </c>
      <c r="M16" s="328" t="s">
        <v>35</v>
      </c>
      <c r="N16" s="248">
        <v>1</v>
      </c>
      <c r="O16" s="248">
        <v>1</v>
      </c>
      <c r="P16" s="248">
        <v>1</v>
      </c>
      <c r="Q16" s="248" t="s">
        <v>19</v>
      </c>
      <c r="R16" s="322"/>
    </row>
    <row r="17" spans="1:18" s="323" customFormat="1" x14ac:dyDescent="0.2">
      <c r="A17" s="538"/>
      <c r="B17" s="539"/>
      <c r="C17" s="536"/>
      <c r="D17" s="536"/>
      <c r="E17" s="293" t="s">
        <v>15</v>
      </c>
      <c r="F17" s="32">
        <v>224</v>
      </c>
      <c r="G17" s="32">
        <v>284.3</v>
      </c>
      <c r="H17" s="106">
        <f>ROUND(G17*Lapas1!$B$2, 1)</f>
        <v>307</v>
      </c>
      <c r="I17" s="106">
        <f>ROUND(H17*Lapas1!$B$2, 1)</f>
        <v>331.6</v>
      </c>
      <c r="J17" s="329"/>
      <c r="K17" s="330"/>
      <c r="L17" s="331"/>
      <c r="M17" s="330"/>
      <c r="N17" s="332"/>
      <c r="O17" s="332"/>
      <c r="P17" s="333"/>
      <c r="Q17" s="333"/>
      <c r="R17" s="322"/>
    </row>
    <row r="18" spans="1:18" s="323" customFormat="1" x14ac:dyDescent="0.2">
      <c r="A18" s="538"/>
      <c r="B18" s="539"/>
      <c r="C18" s="536"/>
      <c r="D18" s="536"/>
      <c r="E18" s="294" t="s">
        <v>22</v>
      </c>
      <c r="F18" s="29">
        <f>SUM(F17:F17)</f>
        <v>224</v>
      </c>
      <c r="G18" s="29">
        <f t="shared" ref="G18:I18" si="0">SUM(G17:G17)</f>
        <v>284.3</v>
      </c>
      <c r="H18" s="29">
        <f t="shared" si="0"/>
        <v>307</v>
      </c>
      <c r="I18" s="29">
        <f t="shared" si="0"/>
        <v>331.6</v>
      </c>
      <c r="J18" s="329"/>
      <c r="K18" s="330"/>
      <c r="L18" s="331"/>
      <c r="M18" s="330"/>
      <c r="N18" s="332"/>
      <c r="O18" s="332"/>
      <c r="P18" s="333"/>
      <c r="Q18" s="333"/>
      <c r="R18" s="334">
        <f>(G18-F18)/F18</f>
        <v>0.26919642857142861</v>
      </c>
    </row>
    <row r="19" spans="1:18" s="323" customFormat="1" x14ac:dyDescent="0.2">
      <c r="A19" s="538" t="s">
        <v>0</v>
      </c>
      <c r="B19" s="539" t="s">
        <v>0</v>
      </c>
      <c r="C19" s="540" t="s">
        <v>10</v>
      </c>
      <c r="D19" s="540" t="s">
        <v>21</v>
      </c>
      <c r="E19" s="537" t="s">
        <v>526</v>
      </c>
      <c r="F19" s="537"/>
      <c r="G19" s="537"/>
      <c r="H19" s="537"/>
      <c r="I19" s="537"/>
      <c r="J19" s="536" t="s">
        <v>19</v>
      </c>
      <c r="K19" s="327" t="s">
        <v>525</v>
      </c>
      <c r="L19" s="95" t="s">
        <v>524</v>
      </c>
      <c r="M19" s="328" t="s">
        <v>35</v>
      </c>
      <c r="N19" s="248">
        <v>755</v>
      </c>
      <c r="O19" s="248">
        <v>755</v>
      </c>
      <c r="P19" s="248">
        <v>755</v>
      </c>
      <c r="Q19" s="248" t="s">
        <v>19</v>
      </c>
      <c r="R19" s="322"/>
    </row>
    <row r="20" spans="1:18" s="323" customFormat="1" x14ac:dyDescent="0.2">
      <c r="A20" s="538"/>
      <c r="B20" s="539"/>
      <c r="C20" s="540"/>
      <c r="D20" s="540"/>
      <c r="E20" s="537"/>
      <c r="F20" s="537"/>
      <c r="G20" s="537"/>
      <c r="H20" s="537"/>
      <c r="I20" s="537"/>
      <c r="J20" s="536"/>
      <c r="K20" s="327" t="s">
        <v>523</v>
      </c>
      <c r="L20" s="95" t="s">
        <v>977</v>
      </c>
      <c r="M20" s="328" t="s">
        <v>35</v>
      </c>
      <c r="N20" s="248">
        <v>1465</v>
      </c>
      <c r="O20" s="248">
        <v>1465</v>
      </c>
      <c r="P20" s="248">
        <v>1465</v>
      </c>
      <c r="Q20" s="248" t="s">
        <v>19</v>
      </c>
      <c r="R20" s="322"/>
    </row>
    <row r="21" spans="1:18" s="323" customFormat="1" x14ac:dyDescent="0.2">
      <c r="A21" s="538"/>
      <c r="B21" s="539"/>
      <c r="C21" s="540"/>
      <c r="D21" s="540"/>
      <c r="E21" s="293" t="s">
        <v>15</v>
      </c>
      <c r="F21" s="32">
        <v>643</v>
      </c>
      <c r="G21" s="32">
        <v>820.6</v>
      </c>
      <c r="H21" s="106">
        <f>ROUND(G21*Lapas1!$B$2, 1)</f>
        <v>886.2</v>
      </c>
      <c r="I21" s="106">
        <f>ROUND(H21*Lapas1!$B$2, 1)</f>
        <v>957.1</v>
      </c>
      <c r="J21" s="329"/>
      <c r="K21" s="330"/>
      <c r="L21" s="331"/>
      <c r="M21" s="330"/>
      <c r="N21" s="332"/>
      <c r="O21" s="332"/>
      <c r="P21" s="333"/>
      <c r="Q21" s="333"/>
      <c r="R21" s="322"/>
    </row>
    <row r="22" spans="1:18" s="323" customFormat="1" x14ac:dyDescent="0.2">
      <c r="A22" s="538"/>
      <c r="B22" s="539"/>
      <c r="C22" s="540"/>
      <c r="D22" s="540"/>
      <c r="E22" s="294" t="s">
        <v>22</v>
      </c>
      <c r="F22" s="29">
        <f>SUM(F21:F21)</f>
        <v>643</v>
      </c>
      <c r="G22" s="29">
        <f>SUM(G21:G21)</f>
        <v>820.6</v>
      </c>
      <c r="H22" s="29">
        <f>SUM(H21:H21)</f>
        <v>886.2</v>
      </c>
      <c r="I22" s="29">
        <f>SUM(I21:I21)</f>
        <v>957.1</v>
      </c>
      <c r="J22" s="329"/>
      <c r="K22" s="330"/>
      <c r="L22" s="331"/>
      <c r="M22" s="330"/>
      <c r="N22" s="332"/>
      <c r="O22" s="332"/>
      <c r="P22" s="333"/>
      <c r="Q22" s="333"/>
      <c r="R22" s="334">
        <f>(G22-F22)/F22</f>
        <v>0.2762052877138414</v>
      </c>
    </row>
    <row r="23" spans="1:18" s="323" customFormat="1" ht="25.5" x14ac:dyDescent="0.2">
      <c r="A23" s="538" t="s">
        <v>0</v>
      </c>
      <c r="B23" s="539" t="s">
        <v>0</v>
      </c>
      <c r="C23" s="540" t="s">
        <v>24</v>
      </c>
      <c r="D23" s="540" t="s">
        <v>21</v>
      </c>
      <c r="E23" s="537" t="s">
        <v>887</v>
      </c>
      <c r="F23" s="537"/>
      <c r="G23" s="537"/>
      <c r="H23" s="537"/>
      <c r="I23" s="537"/>
      <c r="J23" s="536" t="s">
        <v>19</v>
      </c>
      <c r="K23" s="327" t="s">
        <v>993</v>
      </c>
      <c r="L23" s="293" t="s">
        <v>992</v>
      </c>
      <c r="M23" s="327" t="s">
        <v>12</v>
      </c>
      <c r="N23" s="307">
        <v>70</v>
      </c>
      <c r="O23" s="307">
        <v>80</v>
      </c>
      <c r="P23" s="307">
        <v>80</v>
      </c>
      <c r="Q23" s="307" t="s">
        <v>19</v>
      </c>
      <c r="R23" s="322"/>
    </row>
    <row r="24" spans="1:18" s="323" customFormat="1" x14ac:dyDescent="0.2">
      <c r="A24" s="538"/>
      <c r="B24" s="539"/>
      <c r="C24" s="540"/>
      <c r="D24" s="540"/>
      <c r="E24" s="537"/>
      <c r="F24" s="537"/>
      <c r="G24" s="537"/>
      <c r="H24" s="537"/>
      <c r="I24" s="537"/>
      <c r="J24" s="536"/>
      <c r="K24" s="327" t="s">
        <v>522</v>
      </c>
      <c r="L24" s="335" t="s">
        <v>521</v>
      </c>
      <c r="M24" s="327" t="s">
        <v>35</v>
      </c>
      <c r="N24" s="307">
        <v>3</v>
      </c>
      <c r="O24" s="307">
        <v>4</v>
      </c>
      <c r="P24" s="307">
        <v>5</v>
      </c>
      <c r="Q24" s="307" t="s">
        <v>19</v>
      </c>
      <c r="R24" s="322"/>
    </row>
    <row r="25" spans="1:18" s="323" customFormat="1" x14ac:dyDescent="0.2">
      <c r="A25" s="538"/>
      <c r="B25" s="539"/>
      <c r="C25" s="540"/>
      <c r="D25" s="540"/>
      <c r="E25" s="293" t="s">
        <v>15</v>
      </c>
      <c r="F25" s="32">
        <v>2069.6</v>
      </c>
      <c r="G25" s="32">
        <f>2370.4+60.6</f>
        <v>2431</v>
      </c>
      <c r="H25" s="106">
        <f>ROUND(G25*Lapas1!$B$2, 1)</f>
        <v>2625.5</v>
      </c>
      <c r="I25" s="106">
        <f>ROUND(H25*Lapas1!$B$2, 1)</f>
        <v>2835.5</v>
      </c>
      <c r="J25" s="329"/>
      <c r="K25" s="330"/>
      <c r="L25" s="331"/>
      <c r="M25" s="330"/>
      <c r="N25" s="332"/>
      <c r="O25" s="332"/>
      <c r="P25" s="333"/>
      <c r="Q25" s="333"/>
      <c r="R25" s="322"/>
    </row>
    <row r="26" spans="1:18" s="323" customFormat="1" x14ac:dyDescent="0.2">
      <c r="A26" s="538"/>
      <c r="B26" s="539"/>
      <c r="C26" s="540"/>
      <c r="D26" s="540"/>
      <c r="E26" s="293" t="s">
        <v>14</v>
      </c>
      <c r="F26" s="32">
        <v>123.8</v>
      </c>
      <c r="G26" s="406"/>
      <c r="H26" s="106"/>
      <c r="I26" s="106"/>
      <c r="J26" s="329"/>
      <c r="K26" s="330"/>
      <c r="L26" s="331"/>
      <c r="M26" s="330"/>
      <c r="N26" s="332"/>
      <c r="O26" s="332"/>
      <c r="P26" s="333"/>
      <c r="Q26" s="333"/>
      <c r="R26" s="322"/>
    </row>
    <row r="27" spans="1:18" s="323" customFormat="1" x14ac:dyDescent="0.2">
      <c r="A27" s="538"/>
      <c r="B27" s="539"/>
      <c r="C27" s="540"/>
      <c r="D27" s="540"/>
      <c r="E27" s="294" t="s">
        <v>22</v>
      </c>
      <c r="F27" s="29">
        <f>SUM(F25:F26)</f>
        <v>2193.4</v>
      </c>
      <c r="G27" s="29">
        <f t="shared" ref="G27:I27" si="1">SUM(G25:G26)</f>
        <v>2431</v>
      </c>
      <c r="H27" s="29">
        <f t="shared" si="1"/>
        <v>2625.5</v>
      </c>
      <c r="I27" s="29">
        <f t="shared" si="1"/>
        <v>2835.5</v>
      </c>
      <c r="J27" s="329"/>
      <c r="K27" s="330"/>
      <c r="L27" s="331"/>
      <c r="M27" s="330"/>
      <c r="N27" s="332"/>
      <c r="O27" s="332"/>
      <c r="P27" s="333"/>
      <c r="Q27" s="333"/>
      <c r="R27" s="334">
        <f>(G27-F27)/F27</f>
        <v>0.10832497492477428</v>
      </c>
    </row>
    <row r="28" spans="1:18" s="323" customFormat="1" ht="27.75" customHeight="1" x14ac:dyDescent="0.2">
      <c r="A28" s="538" t="s">
        <v>0</v>
      </c>
      <c r="B28" s="539" t="s">
        <v>0</v>
      </c>
      <c r="C28" s="540" t="s">
        <v>25</v>
      </c>
      <c r="D28" s="540" t="s">
        <v>21</v>
      </c>
      <c r="E28" s="537" t="s">
        <v>908</v>
      </c>
      <c r="F28" s="537"/>
      <c r="G28" s="537"/>
      <c r="H28" s="537"/>
      <c r="I28" s="537"/>
      <c r="J28" s="326" t="s">
        <v>19</v>
      </c>
      <c r="K28" s="327" t="s">
        <v>520</v>
      </c>
      <c r="L28" s="293" t="s">
        <v>519</v>
      </c>
      <c r="M28" s="327" t="s">
        <v>12</v>
      </c>
      <c r="N28" s="307">
        <v>200</v>
      </c>
      <c r="O28" s="307">
        <v>220</v>
      </c>
      <c r="P28" s="307">
        <v>220</v>
      </c>
      <c r="Q28" s="307" t="s">
        <v>19</v>
      </c>
      <c r="R28" s="322"/>
    </row>
    <row r="29" spans="1:18" s="323" customFormat="1" x14ac:dyDescent="0.2">
      <c r="A29" s="538"/>
      <c r="B29" s="539"/>
      <c r="C29" s="540"/>
      <c r="D29" s="540"/>
      <c r="E29" s="293" t="s">
        <v>14</v>
      </c>
      <c r="F29" s="106">
        <v>74.599999999999994</v>
      </c>
      <c r="G29" s="32">
        <v>51.4</v>
      </c>
      <c r="H29" s="106">
        <f>ROUND(G29*Lapas1!$B$1, 1)</f>
        <v>55.5</v>
      </c>
      <c r="I29" s="106">
        <f>ROUND(H29*Lapas1!$B$1, 1)</f>
        <v>59.9</v>
      </c>
      <c r="J29" s="329"/>
      <c r="K29" s="330"/>
      <c r="L29" s="331"/>
      <c r="M29" s="330"/>
      <c r="N29" s="332"/>
      <c r="O29" s="332"/>
      <c r="P29" s="333"/>
      <c r="Q29" s="333"/>
      <c r="R29" s="322"/>
    </row>
    <row r="30" spans="1:18" s="323" customFormat="1" x14ac:dyDescent="0.2">
      <c r="A30" s="538"/>
      <c r="B30" s="539"/>
      <c r="C30" s="540"/>
      <c r="D30" s="540"/>
      <c r="E30" s="293" t="s">
        <v>15</v>
      </c>
      <c r="F30" s="106">
        <v>141.72800000000001</v>
      </c>
      <c r="G30" s="32">
        <v>89.906999999999996</v>
      </c>
      <c r="H30" s="106">
        <f>ROUND(G30*Lapas1!$B$2, 1)</f>
        <v>97.1</v>
      </c>
      <c r="I30" s="106">
        <f>ROUND(H30*Lapas1!$B$2, 1)</f>
        <v>104.9</v>
      </c>
      <c r="J30" s="329"/>
      <c r="K30" s="330"/>
      <c r="L30" s="331"/>
      <c r="M30" s="330"/>
      <c r="N30" s="332"/>
      <c r="O30" s="332"/>
      <c r="P30" s="333"/>
      <c r="Q30" s="333"/>
      <c r="R30" s="322"/>
    </row>
    <row r="31" spans="1:18" s="323" customFormat="1" x14ac:dyDescent="0.2">
      <c r="A31" s="538"/>
      <c r="B31" s="539"/>
      <c r="C31" s="540"/>
      <c r="D31" s="540"/>
      <c r="E31" s="294" t="s">
        <v>22</v>
      </c>
      <c r="F31" s="29">
        <f>SUM(F29:F30)</f>
        <v>216.328</v>
      </c>
      <c r="G31" s="29">
        <f t="shared" ref="G31:I31" si="2">SUM(G29:G30)</f>
        <v>141.30699999999999</v>
      </c>
      <c r="H31" s="29">
        <f t="shared" si="2"/>
        <v>152.6</v>
      </c>
      <c r="I31" s="29">
        <f t="shared" si="2"/>
        <v>164.8</v>
      </c>
      <c r="J31" s="329"/>
      <c r="K31" s="330"/>
      <c r="L31" s="331"/>
      <c r="M31" s="330"/>
      <c r="N31" s="332"/>
      <c r="O31" s="332"/>
      <c r="P31" s="333"/>
      <c r="Q31" s="333"/>
      <c r="R31" s="334">
        <f>(G31-F31)/F31</f>
        <v>-0.34679283310528464</v>
      </c>
    </row>
    <row r="32" spans="1:18" s="323" customFormat="1" x14ac:dyDescent="0.2">
      <c r="A32" s="538" t="s">
        <v>0</v>
      </c>
      <c r="B32" s="539" t="s">
        <v>0</v>
      </c>
      <c r="C32" s="540" t="s">
        <v>26</v>
      </c>
      <c r="D32" s="540" t="s">
        <v>21</v>
      </c>
      <c r="E32" s="537" t="s">
        <v>516</v>
      </c>
      <c r="F32" s="537"/>
      <c r="G32" s="537"/>
      <c r="H32" s="537"/>
      <c r="I32" s="537"/>
      <c r="J32" s="536" t="s">
        <v>19</v>
      </c>
      <c r="K32" s="327" t="s">
        <v>515</v>
      </c>
      <c r="L32" s="293" t="s">
        <v>514</v>
      </c>
      <c r="M32" s="327" t="s">
        <v>35</v>
      </c>
      <c r="N32" s="336">
        <v>20</v>
      </c>
      <c r="O32" s="336">
        <v>21</v>
      </c>
      <c r="P32" s="336">
        <v>22</v>
      </c>
      <c r="Q32" s="336" t="s">
        <v>19</v>
      </c>
      <c r="R32" s="322"/>
    </row>
    <row r="33" spans="1:18" s="323" customFormat="1" x14ac:dyDescent="0.2">
      <c r="A33" s="538"/>
      <c r="B33" s="539"/>
      <c r="C33" s="540"/>
      <c r="D33" s="540"/>
      <c r="E33" s="537"/>
      <c r="F33" s="537"/>
      <c r="G33" s="537"/>
      <c r="H33" s="537"/>
      <c r="I33" s="537"/>
      <c r="J33" s="536"/>
      <c r="K33" s="327" t="s">
        <v>513</v>
      </c>
      <c r="L33" s="293" t="s">
        <v>512</v>
      </c>
      <c r="M33" s="327" t="s">
        <v>12</v>
      </c>
      <c r="N33" s="336">
        <v>15000</v>
      </c>
      <c r="O33" s="336">
        <v>15000</v>
      </c>
      <c r="P33" s="336">
        <v>15000</v>
      </c>
      <c r="Q33" s="336" t="s">
        <v>19</v>
      </c>
      <c r="R33" s="322"/>
    </row>
    <row r="34" spans="1:18" s="323" customFormat="1" ht="25.5" x14ac:dyDescent="0.2">
      <c r="A34" s="538"/>
      <c r="B34" s="539"/>
      <c r="C34" s="540"/>
      <c r="D34" s="540"/>
      <c r="E34" s="537"/>
      <c r="F34" s="537"/>
      <c r="G34" s="537"/>
      <c r="H34" s="537"/>
      <c r="I34" s="537"/>
      <c r="J34" s="536"/>
      <c r="K34" s="327" t="s">
        <v>511</v>
      </c>
      <c r="L34" s="293" t="s">
        <v>994</v>
      </c>
      <c r="M34" s="327" t="s">
        <v>509</v>
      </c>
      <c r="N34" s="336">
        <v>200</v>
      </c>
      <c r="O34" s="336">
        <v>200</v>
      </c>
      <c r="P34" s="336">
        <v>200</v>
      </c>
      <c r="Q34" s="336" t="s">
        <v>19</v>
      </c>
      <c r="R34" s="322"/>
    </row>
    <row r="35" spans="1:18" s="323" customFormat="1" ht="25.5" x14ac:dyDescent="0.2">
      <c r="A35" s="538"/>
      <c r="B35" s="539"/>
      <c r="C35" s="540"/>
      <c r="D35" s="540"/>
      <c r="E35" s="537"/>
      <c r="F35" s="537"/>
      <c r="G35" s="537"/>
      <c r="H35" s="537"/>
      <c r="I35" s="537"/>
      <c r="J35" s="536"/>
      <c r="K35" s="327" t="s">
        <v>510</v>
      </c>
      <c r="L35" s="293" t="s">
        <v>995</v>
      </c>
      <c r="M35" s="327" t="s">
        <v>509</v>
      </c>
      <c r="N35" s="336">
        <v>250</v>
      </c>
      <c r="O35" s="336">
        <v>250</v>
      </c>
      <c r="P35" s="336">
        <v>250</v>
      </c>
      <c r="Q35" s="336" t="s">
        <v>19</v>
      </c>
      <c r="R35" s="322"/>
    </row>
    <row r="36" spans="1:18" s="323" customFormat="1" x14ac:dyDescent="0.2">
      <c r="A36" s="538"/>
      <c r="B36" s="539"/>
      <c r="C36" s="540"/>
      <c r="D36" s="540"/>
      <c r="E36" s="537"/>
      <c r="F36" s="537"/>
      <c r="G36" s="537"/>
      <c r="H36" s="537"/>
      <c r="I36" s="537"/>
      <c r="J36" s="536"/>
      <c r="K36" s="327" t="s">
        <v>508</v>
      </c>
      <c r="L36" s="293" t="s">
        <v>507</v>
      </c>
      <c r="M36" s="327" t="s">
        <v>12</v>
      </c>
      <c r="N36" s="336">
        <v>1500</v>
      </c>
      <c r="O36" s="336">
        <v>1700</v>
      </c>
      <c r="P36" s="336">
        <v>1900</v>
      </c>
      <c r="Q36" s="336" t="s">
        <v>19</v>
      </c>
      <c r="R36" s="322"/>
    </row>
    <row r="37" spans="1:18" s="323" customFormat="1" x14ac:dyDescent="0.2">
      <c r="A37" s="538"/>
      <c r="B37" s="539"/>
      <c r="C37" s="540"/>
      <c r="D37" s="540"/>
      <c r="E37" s="537"/>
      <c r="F37" s="537"/>
      <c r="G37" s="537"/>
      <c r="H37" s="537"/>
      <c r="I37" s="537"/>
      <c r="J37" s="536"/>
      <c r="K37" s="327" t="s">
        <v>506</v>
      </c>
      <c r="L37" s="293" t="s">
        <v>505</v>
      </c>
      <c r="M37" s="327" t="s">
        <v>12</v>
      </c>
      <c r="N37" s="336">
        <v>23</v>
      </c>
      <c r="O37" s="336">
        <v>24</v>
      </c>
      <c r="P37" s="336">
        <v>25</v>
      </c>
      <c r="Q37" s="336" t="s">
        <v>19</v>
      </c>
      <c r="R37" s="322"/>
    </row>
    <row r="38" spans="1:18" s="323" customFormat="1" x14ac:dyDescent="0.2">
      <c r="A38" s="538"/>
      <c r="B38" s="539"/>
      <c r="C38" s="540"/>
      <c r="D38" s="540"/>
      <c r="E38" s="293" t="s">
        <v>15</v>
      </c>
      <c r="F38" s="32">
        <v>377.72</v>
      </c>
      <c r="G38" s="32">
        <v>372.24</v>
      </c>
      <c r="H38" s="106">
        <f>ROUND(G38*Lapas1!$B$2, 1)</f>
        <v>402</v>
      </c>
      <c r="I38" s="106">
        <f>ROUND(H38*Lapas1!$B$2, 1)</f>
        <v>434.2</v>
      </c>
      <c r="J38" s="329"/>
      <c r="K38" s="330"/>
      <c r="L38" s="331"/>
      <c r="M38" s="330"/>
      <c r="N38" s="332"/>
      <c r="O38" s="332"/>
      <c r="P38" s="333"/>
      <c r="Q38" s="333"/>
      <c r="R38" s="322"/>
    </row>
    <row r="39" spans="1:18" s="323" customFormat="1" x14ac:dyDescent="0.2">
      <c r="A39" s="538"/>
      <c r="B39" s="539"/>
      <c r="C39" s="540"/>
      <c r="D39" s="540"/>
      <c r="E39" s="294" t="s">
        <v>22</v>
      </c>
      <c r="F39" s="29">
        <f>SUM(F38:F38)</f>
        <v>377.72</v>
      </c>
      <c r="G39" s="29">
        <f>SUM(G38:G38)</f>
        <v>372.24</v>
      </c>
      <c r="H39" s="29">
        <f>SUM(H38:H38)</f>
        <v>402</v>
      </c>
      <c r="I39" s="29">
        <f>SUM(I38:I38)</f>
        <v>434.2</v>
      </c>
      <c r="J39" s="329"/>
      <c r="K39" s="330"/>
      <c r="L39" s="331"/>
      <c r="M39" s="330"/>
      <c r="N39" s="332"/>
      <c r="O39" s="332"/>
      <c r="P39" s="333"/>
      <c r="Q39" s="333"/>
      <c r="R39" s="334">
        <f>(G39-F39)/F39</f>
        <v>-1.4508101239013072E-2</v>
      </c>
    </row>
    <row r="40" spans="1:18" s="323" customFormat="1" ht="13.5" x14ac:dyDescent="0.2">
      <c r="A40" s="538" t="s">
        <v>0</v>
      </c>
      <c r="B40" s="539" t="s">
        <v>0</v>
      </c>
      <c r="C40" s="540" t="s">
        <v>27</v>
      </c>
      <c r="D40" s="540" t="s">
        <v>21</v>
      </c>
      <c r="E40" s="537" t="s">
        <v>504</v>
      </c>
      <c r="F40" s="537"/>
      <c r="G40" s="537"/>
      <c r="H40" s="537"/>
      <c r="I40" s="537"/>
      <c r="J40" s="326" t="s">
        <v>19</v>
      </c>
      <c r="K40" s="327" t="s">
        <v>503</v>
      </c>
      <c r="L40" s="293" t="s">
        <v>502</v>
      </c>
      <c r="M40" s="327" t="s">
        <v>35</v>
      </c>
      <c r="N40" s="336">
        <v>23</v>
      </c>
      <c r="O40" s="336">
        <v>25</v>
      </c>
      <c r="P40" s="336">
        <v>27</v>
      </c>
      <c r="Q40" s="336" t="s">
        <v>19</v>
      </c>
      <c r="R40" s="322"/>
    </row>
    <row r="41" spans="1:18" s="323" customFormat="1" x14ac:dyDescent="0.2">
      <c r="A41" s="538"/>
      <c r="B41" s="539"/>
      <c r="C41" s="540"/>
      <c r="D41" s="540"/>
      <c r="E41" s="293" t="s">
        <v>15</v>
      </c>
      <c r="F41" s="32">
        <v>8.5</v>
      </c>
      <c r="G41" s="32">
        <v>37.6</v>
      </c>
      <c r="H41" s="106">
        <f>ROUND(G41*Lapas1!$B$2, 1)</f>
        <v>40.6</v>
      </c>
      <c r="I41" s="106">
        <f>ROUND(H41*Lapas1!$B$2, 1)</f>
        <v>43.8</v>
      </c>
      <c r="J41" s="329"/>
      <c r="K41" s="330"/>
      <c r="L41" s="331"/>
      <c r="M41" s="330"/>
      <c r="N41" s="332"/>
      <c r="O41" s="332"/>
      <c r="P41" s="333"/>
      <c r="Q41" s="333"/>
      <c r="R41" s="322"/>
    </row>
    <row r="42" spans="1:18" s="323" customFormat="1" x14ac:dyDescent="0.2">
      <c r="A42" s="538"/>
      <c r="B42" s="539"/>
      <c r="C42" s="540"/>
      <c r="D42" s="540"/>
      <c r="E42" s="294" t="s">
        <v>22</v>
      </c>
      <c r="F42" s="29">
        <f>SUM(F41:F41)</f>
        <v>8.5</v>
      </c>
      <c r="G42" s="29">
        <f>SUM(G41:G41)</f>
        <v>37.6</v>
      </c>
      <c r="H42" s="29">
        <f>SUM(H41:H41)</f>
        <v>40.6</v>
      </c>
      <c r="I42" s="29">
        <f>SUM(I41:I41)</f>
        <v>43.8</v>
      </c>
      <c r="J42" s="329"/>
      <c r="K42" s="330"/>
      <c r="L42" s="331"/>
      <c r="M42" s="330"/>
      <c r="N42" s="332"/>
      <c r="O42" s="332"/>
      <c r="P42" s="333"/>
      <c r="Q42" s="333"/>
      <c r="R42" s="334">
        <f>(G42-F42)/F42</f>
        <v>3.4235294117647062</v>
      </c>
    </row>
    <row r="43" spans="1:18" s="323" customFormat="1" ht="29.25" customHeight="1" x14ac:dyDescent="0.2">
      <c r="A43" s="538" t="s">
        <v>0</v>
      </c>
      <c r="B43" s="539" t="s">
        <v>0</v>
      </c>
      <c r="C43" s="540" t="s">
        <v>28</v>
      </c>
      <c r="D43" s="540" t="s">
        <v>21</v>
      </c>
      <c r="E43" s="544" t="s">
        <v>501</v>
      </c>
      <c r="F43" s="545"/>
      <c r="G43" s="545"/>
      <c r="H43" s="545"/>
      <c r="I43" s="546"/>
      <c r="J43" s="326" t="s">
        <v>19</v>
      </c>
      <c r="K43" s="327" t="s">
        <v>500</v>
      </c>
      <c r="L43" s="293" t="s">
        <v>974</v>
      </c>
      <c r="M43" s="327" t="s">
        <v>12</v>
      </c>
      <c r="N43" s="307">
        <v>70</v>
      </c>
      <c r="O43" s="307">
        <v>70</v>
      </c>
      <c r="P43" s="307">
        <v>70</v>
      </c>
      <c r="Q43" s="307" t="s">
        <v>19</v>
      </c>
      <c r="R43" s="322"/>
    </row>
    <row r="44" spans="1:18" s="323" customFormat="1" ht="36.75" customHeight="1" x14ac:dyDescent="0.2">
      <c r="A44" s="538"/>
      <c r="B44" s="539"/>
      <c r="C44" s="540"/>
      <c r="D44" s="540"/>
      <c r="E44" s="547"/>
      <c r="F44" s="548"/>
      <c r="G44" s="548"/>
      <c r="H44" s="548"/>
      <c r="I44" s="549"/>
      <c r="J44" s="326" t="s">
        <v>19</v>
      </c>
      <c r="K44" s="327" t="s">
        <v>972</v>
      </c>
      <c r="L44" s="293" t="s">
        <v>975</v>
      </c>
      <c r="M44" s="327" t="s">
        <v>12</v>
      </c>
      <c r="N44" s="307">
        <v>70</v>
      </c>
      <c r="O44" s="307">
        <v>70</v>
      </c>
      <c r="P44" s="307">
        <v>70</v>
      </c>
      <c r="Q44" s="307" t="s">
        <v>19</v>
      </c>
      <c r="R44" s="322"/>
    </row>
    <row r="45" spans="1:18" s="323" customFormat="1" ht="30.75" customHeight="1" x14ac:dyDescent="0.2">
      <c r="A45" s="538"/>
      <c r="B45" s="539"/>
      <c r="C45" s="540"/>
      <c r="D45" s="540"/>
      <c r="E45" s="550"/>
      <c r="F45" s="551"/>
      <c r="G45" s="551"/>
      <c r="H45" s="551"/>
      <c r="I45" s="552"/>
      <c r="J45" s="326" t="s">
        <v>19</v>
      </c>
      <c r="K45" s="327" t="s">
        <v>973</v>
      </c>
      <c r="L45" s="293" t="s">
        <v>976</v>
      </c>
      <c r="M45" s="327" t="s">
        <v>12</v>
      </c>
      <c r="N45" s="307">
        <v>1</v>
      </c>
      <c r="O45" s="307">
        <v>1</v>
      </c>
      <c r="P45" s="307">
        <v>1</v>
      </c>
      <c r="Q45" s="307" t="s">
        <v>19</v>
      </c>
      <c r="R45" s="322"/>
    </row>
    <row r="46" spans="1:18" s="323" customFormat="1" x14ac:dyDescent="0.2">
      <c r="A46" s="538"/>
      <c r="B46" s="539"/>
      <c r="C46" s="540"/>
      <c r="D46" s="540"/>
      <c r="E46" s="293" t="s">
        <v>15</v>
      </c>
      <c r="F46" s="32">
        <v>2.1</v>
      </c>
      <c r="G46" s="32">
        <v>4.3</v>
      </c>
      <c r="H46" s="106">
        <f>ROUND(G46*Lapas1!$B$2, 1)</f>
        <v>4.5999999999999996</v>
      </c>
      <c r="I46" s="106">
        <f>ROUND(H46*Lapas1!$B$2, 1)</f>
        <v>5</v>
      </c>
      <c r="J46" s="329"/>
      <c r="K46" s="330"/>
      <c r="L46" s="331"/>
      <c r="M46" s="330"/>
      <c r="N46" s="332"/>
      <c r="O46" s="332"/>
      <c r="P46" s="333"/>
      <c r="Q46" s="333"/>
      <c r="R46" s="322"/>
    </row>
    <row r="47" spans="1:18" s="323" customFormat="1" x14ac:dyDescent="0.2">
      <c r="A47" s="538"/>
      <c r="B47" s="539"/>
      <c r="C47" s="540"/>
      <c r="D47" s="540"/>
      <c r="E47" s="294" t="s">
        <v>22</v>
      </c>
      <c r="F47" s="29">
        <f>SUM(F46:F46)</f>
        <v>2.1</v>
      </c>
      <c r="G47" s="29">
        <f>SUM(G46:G46)</f>
        <v>4.3</v>
      </c>
      <c r="H47" s="29">
        <f>SUM(H46:H46)</f>
        <v>4.5999999999999996</v>
      </c>
      <c r="I47" s="29">
        <f>SUM(I46:I46)</f>
        <v>5</v>
      </c>
      <c r="J47" s="329"/>
      <c r="K47" s="330"/>
      <c r="L47" s="331"/>
      <c r="M47" s="330"/>
      <c r="N47" s="332"/>
      <c r="O47" s="332"/>
      <c r="P47" s="333"/>
      <c r="Q47" s="333"/>
      <c r="R47" s="334">
        <f>(G47-F47)/F47</f>
        <v>1.0476190476190474</v>
      </c>
    </row>
    <row r="48" spans="1:18" s="323" customFormat="1" ht="13.5" x14ac:dyDescent="0.2">
      <c r="A48" s="538" t="s">
        <v>0</v>
      </c>
      <c r="B48" s="539" t="s">
        <v>0</v>
      </c>
      <c r="C48" s="540" t="s">
        <v>75</v>
      </c>
      <c r="D48" s="540" t="s">
        <v>21</v>
      </c>
      <c r="E48" s="537" t="s">
        <v>499</v>
      </c>
      <c r="F48" s="537"/>
      <c r="G48" s="537"/>
      <c r="H48" s="537"/>
      <c r="I48" s="537"/>
      <c r="J48" s="326" t="s">
        <v>19</v>
      </c>
      <c r="K48" s="327" t="s">
        <v>498</v>
      </c>
      <c r="L48" s="293" t="s">
        <v>497</v>
      </c>
      <c r="M48" s="327" t="s">
        <v>35</v>
      </c>
      <c r="N48" s="307">
        <v>10</v>
      </c>
      <c r="O48" s="307">
        <v>10</v>
      </c>
      <c r="P48" s="307">
        <v>10</v>
      </c>
      <c r="Q48" s="307" t="s">
        <v>19</v>
      </c>
      <c r="R48" s="322"/>
    </row>
    <row r="49" spans="1:18" s="323" customFormat="1" x14ac:dyDescent="0.2">
      <c r="A49" s="538"/>
      <c r="B49" s="539"/>
      <c r="C49" s="540"/>
      <c r="D49" s="540"/>
      <c r="E49" s="95" t="s">
        <v>15</v>
      </c>
      <c r="F49" s="32">
        <v>96.823999999999998</v>
      </c>
      <c r="G49" s="32">
        <v>95</v>
      </c>
      <c r="H49" s="106">
        <f>ROUND(G49*Lapas1!$B$2, 1)</f>
        <v>102.6</v>
      </c>
      <c r="I49" s="106">
        <f>ROUND(H49*Lapas1!$B$2, 1)</f>
        <v>110.8</v>
      </c>
      <c r="J49" s="329"/>
      <c r="K49" s="330"/>
      <c r="L49" s="331"/>
      <c r="M49" s="330"/>
      <c r="N49" s="332"/>
      <c r="O49" s="332"/>
      <c r="P49" s="333"/>
      <c r="Q49" s="333"/>
      <c r="R49" s="322"/>
    </row>
    <row r="50" spans="1:18" s="323" customFormat="1" x14ac:dyDescent="0.2">
      <c r="A50" s="538"/>
      <c r="B50" s="539"/>
      <c r="C50" s="540"/>
      <c r="D50" s="540"/>
      <c r="E50" s="95" t="s">
        <v>266</v>
      </c>
      <c r="F50" s="32">
        <v>58.7</v>
      </c>
      <c r="G50" s="32"/>
      <c r="H50" s="32"/>
      <c r="I50" s="32"/>
      <c r="J50" s="329"/>
      <c r="K50" s="330"/>
      <c r="L50" s="331"/>
      <c r="M50" s="330"/>
      <c r="N50" s="332"/>
      <c r="O50" s="332"/>
      <c r="P50" s="333"/>
      <c r="Q50" s="333"/>
      <c r="R50" s="322"/>
    </row>
    <row r="51" spans="1:18" s="323" customFormat="1" x14ac:dyDescent="0.2">
      <c r="A51" s="538"/>
      <c r="B51" s="539"/>
      <c r="C51" s="540"/>
      <c r="D51" s="540"/>
      <c r="E51" s="294" t="s">
        <v>22</v>
      </c>
      <c r="F51" s="29">
        <f>SUM(F49:F50)</f>
        <v>155.524</v>
      </c>
      <c r="G51" s="29">
        <f t="shared" ref="G51:I51" si="3">SUM(G49:G50)</f>
        <v>95</v>
      </c>
      <c r="H51" s="29">
        <f t="shared" si="3"/>
        <v>102.6</v>
      </c>
      <c r="I51" s="29">
        <f t="shared" si="3"/>
        <v>110.8</v>
      </c>
      <c r="J51" s="329"/>
      <c r="K51" s="330"/>
      <c r="L51" s="331"/>
      <c r="M51" s="330"/>
      <c r="N51" s="332"/>
      <c r="O51" s="332"/>
      <c r="P51" s="333"/>
      <c r="Q51" s="333"/>
      <c r="R51" s="334">
        <f>(G51-F51)/F51</f>
        <v>-0.38916180139399709</v>
      </c>
    </row>
    <row r="52" spans="1:18" s="323" customFormat="1" x14ac:dyDescent="0.2">
      <c r="A52" s="538" t="s">
        <v>0</v>
      </c>
      <c r="B52" s="539" t="s">
        <v>0</v>
      </c>
      <c r="C52" s="540" t="s">
        <v>107</v>
      </c>
      <c r="D52" s="540" t="s">
        <v>21</v>
      </c>
      <c r="E52" s="537" t="s">
        <v>496</v>
      </c>
      <c r="F52" s="537"/>
      <c r="G52" s="537"/>
      <c r="H52" s="537"/>
      <c r="I52" s="537"/>
      <c r="J52" s="536" t="s">
        <v>19</v>
      </c>
      <c r="K52" s="327" t="s">
        <v>495</v>
      </c>
      <c r="L52" s="293" t="s">
        <v>494</v>
      </c>
      <c r="M52" s="327" t="s">
        <v>35</v>
      </c>
      <c r="N52" s="307">
        <v>80</v>
      </c>
      <c r="O52" s="307">
        <v>80</v>
      </c>
      <c r="P52" s="307">
        <v>80</v>
      </c>
      <c r="Q52" s="307" t="s">
        <v>19</v>
      </c>
      <c r="R52" s="322"/>
    </row>
    <row r="53" spans="1:18" s="323" customFormat="1" x14ac:dyDescent="0.2">
      <c r="A53" s="538"/>
      <c r="B53" s="539"/>
      <c r="C53" s="540"/>
      <c r="D53" s="540"/>
      <c r="E53" s="537"/>
      <c r="F53" s="537"/>
      <c r="G53" s="537"/>
      <c r="H53" s="537"/>
      <c r="I53" s="537"/>
      <c r="J53" s="536"/>
      <c r="K53" s="327" t="s">
        <v>493</v>
      </c>
      <c r="L53" s="293" t="s">
        <v>492</v>
      </c>
      <c r="M53" s="327" t="s">
        <v>35</v>
      </c>
      <c r="N53" s="307">
        <v>770</v>
      </c>
      <c r="O53" s="307">
        <v>770</v>
      </c>
      <c r="P53" s="307">
        <v>770</v>
      </c>
      <c r="Q53" s="307" t="s">
        <v>19</v>
      </c>
      <c r="R53" s="322"/>
    </row>
    <row r="54" spans="1:18" s="323" customFormat="1" x14ac:dyDescent="0.2">
      <c r="A54" s="538"/>
      <c r="B54" s="539"/>
      <c r="C54" s="540"/>
      <c r="D54" s="540"/>
      <c r="E54" s="537"/>
      <c r="F54" s="537"/>
      <c r="G54" s="537"/>
      <c r="H54" s="537"/>
      <c r="I54" s="537"/>
      <c r="J54" s="536"/>
      <c r="K54" s="327" t="s">
        <v>491</v>
      </c>
      <c r="L54" s="293" t="s">
        <v>490</v>
      </c>
      <c r="M54" s="327" t="s">
        <v>35</v>
      </c>
      <c r="N54" s="307">
        <v>600</v>
      </c>
      <c r="O54" s="307">
        <v>600</v>
      </c>
      <c r="P54" s="307">
        <v>600</v>
      </c>
      <c r="Q54" s="307" t="s">
        <v>19</v>
      </c>
      <c r="R54" s="322"/>
    </row>
    <row r="55" spans="1:18" s="323" customFormat="1" x14ac:dyDescent="0.2">
      <c r="A55" s="538"/>
      <c r="B55" s="539"/>
      <c r="C55" s="540"/>
      <c r="D55" s="540"/>
      <c r="E55" s="537"/>
      <c r="F55" s="537"/>
      <c r="G55" s="537"/>
      <c r="H55" s="537"/>
      <c r="I55" s="537"/>
      <c r="J55" s="536"/>
      <c r="K55" s="327" t="s">
        <v>489</v>
      </c>
      <c r="L55" s="337" t="s">
        <v>911</v>
      </c>
      <c r="M55" s="327" t="s">
        <v>35</v>
      </c>
      <c r="N55" s="307">
        <v>90</v>
      </c>
      <c r="O55" s="307">
        <v>90</v>
      </c>
      <c r="P55" s="307">
        <v>100</v>
      </c>
      <c r="Q55" s="307" t="s">
        <v>19</v>
      </c>
      <c r="R55" s="322"/>
    </row>
    <row r="56" spans="1:18" s="323" customFormat="1" x14ac:dyDescent="0.2">
      <c r="A56" s="538"/>
      <c r="B56" s="539"/>
      <c r="C56" s="540"/>
      <c r="D56" s="540"/>
      <c r="E56" s="293" t="s">
        <v>14</v>
      </c>
      <c r="F56" s="32">
        <v>681.2</v>
      </c>
      <c r="G56" s="32">
        <v>1014</v>
      </c>
      <c r="H56" s="106">
        <f>ROUND(G56*Lapas1!$B$1, 1)</f>
        <v>1095.0999999999999</v>
      </c>
      <c r="I56" s="106">
        <f>ROUND(H56*Lapas1!$B$1, 1)</f>
        <v>1182.7</v>
      </c>
      <c r="J56" s="329"/>
      <c r="K56" s="330"/>
      <c r="L56" s="331"/>
      <c r="M56" s="330"/>
      <c r="N56" s="332"/>
      <c r="O56" s="332"/>
      <c r="P56" s="333"/>
      <c r="Q56" s="333"/>
      <c r="R56" s="322"/>
    </row>
    <row r="57" spans="1:18" s="323" customFormat="1" x14ac:dyDescent="0.2">
      <c r="A57" s="538"/>
      <c r="B57" s="539"/>
      <c r="C57" s="540"/>
      <c r="D57" s="540"/>
      <c r="E57" s="294" t="s">
        <v>22</v>
      </c>
      <c r="F57" s="29">
        <f>SUM(F56:F56)</f>
        <v>681.2</v>
      </c>
      <c r="G57" s="29">
        <f>SUM(G56:G56)</f>
        <v>1014</v>
      </c>
      <c r="H57" s="29">
        <f>SUM(H56:H56)</f>
        <v>1095.0999999999999</v>
      </c>
      <c r="I57" s="29">
        <f>SUM(I56:I56)</f>
        <v>1182.7</v>
      </c>
      <c r="J57" s="329"/>
      <c r="K57" s="330"/>
      <c r="L57" s="331"/>
      <c r="M57" s="330"/>
      <c r="N57" s="332"/>
      <c r="O57" s="332"/>
      <c r="P57" s="333"/>
      <c r="Q57" s="333"/>
      <c r="R57" s="334">
        <f>(G57-F57)/F57</f>
        <v>0.48854961832061061</v>
      </c>
    </row>
    <row r="58" spans="1:18" s="323" customFormat="1" ht="13.5" x14ac:dyDescent="0.2">
      <c r="A58" s="538" t="s">
        <v>0</v>
      </c>
      <c r="B58" s="539" t="s">
        <v>0</v>
      </c>
      <c r="C58" s="540" t="s">
        <v>108</v>
      </c>
      <c r="D58" s="540" t="s">
        <v>21</v>
      </c>
      <c r="E58" s="537" t="s">
        <v>888</v>
      </c>
      <c r="F58" s="537"/>
      <c r="G58" s="537"/>
      <c r="H58" s="537"/>
      <c r="I58" s="537"/>
      <c r="J58" s="326" t="s">
        <v>19</v>
      </c>
      <c r="K58" s="327" t="s">
        <v>488</v>
      </c>
      <c r="L58" s="293" t="s">
        <v>487</v>
      </c>
      <c r="M58" s="327" t="s">
        <v>35</v>
      </c>
      <c r="N58" s="307">
        <v>210</v>
      </c>
      <c r="O58" s="307">
        <v>210</v>
      </c>
      <c r="P58" s="307">
        <v>210</v>
      </c>
      <c r="Q58" s="307" t="s">
        <v>19</v>
      </c>
      <c r="R58" s="322"/>
    </row>
    <row r="59" spans="1:18" s="323" customFormat="1" x14ac:dyDescent="0.2">
      <c r="A59" s="538"/>
      <c r="B59" s="539"/>
      <c r="C59" s="540"/>
      <c r="D59" s="540"/>
      <c r="E59" s="293" t="s">
        <v>14</v>
      </c>
      <c r="F59" s="106">
        <v>157.19999999999999</v>
      </c>
      <c r="G59" s="32">
        <v>187.5</v>
      </c>
      <c r="H59" s="106">
        <f>ROUND(G59*Lapas1!$B$1, 1)</f>
        <v>202.5</v>
      </c>
      <c r="I59" s="106">
        <f>ROUND(H59*Lapas1!$B$1, 1)</f>
        <v>218.7</v>
      </c>
      <c r="J59" s="329"/>
      <c r="K59" s="330"/>
      <c r="L59" s="331"/>
      <c r="M59" s="330"/>
      <c r="N59" s="332"/>
      <c r="O59" s="332"/>
      <c r="P59" s="333"/>
      <c r="Q59" s="333"/>
      <c r="R59" s="322"/>
    </row>
    <row r="60" spans="1:18" s="323" customFormat="1" x14ac:dyDescent="0.2">
      <c r="A60" s="538"/>
      <c r="B60" s="539"/>
      <c r="C60" s="540"/>
      <c r="D60" s="540"/>
      <c r="E60" s="293" t="s">
        <v>15</v>
      </c>
      <c r="F60" s="106">
        <f>150.1+8.8</f>
        <v>158.9</v>
      </c>
      <c r="G60" s="32">
        <v>163.80000000000001</v>
      </c>
      <c r="H60" s="106">
        <f>ROUND(G60*Lapas1!$B$2, 1)</f>
        <v>176.9</v>
      </c>
      <c r="I60" s="106">
        <f>ROUND(H60*Lapas1!$B$2, 1)</f>
        <v>191.1</v>
      </c>
      <c r="J60" s="329"/>
      <c r="K60" s="330"/>
      <c r="L60" s="331"/>
      <c r="M60" s="330"/>
      <c r="N60" s="332"/>
      <c r="O60" s="332"/>
      <c r="P60" s="333"/>
      <c r="Q60" s="333"/>
      <c r="R60" s="322"/>
    </row>
    <row r="61" spans="1:18" s="323" customFormat="1" x14ac:dyDescent="0.2">
      <c r="A61" s="538"/>
      <c r="B61" s="539"/>
      <c r="C61" s="540"/>
      <c r="D61" s="540"/>
      <c r="E61" s="294" t="s">
        <v>22</v>
      </c>
      <c r="F61" s="29">
        <f>SUM(F59:F60)</f>
        <v>316.10000000000002</v>
      </c>
      <c r="G61" s="29">
        <f t="shared" ref="G61:I61" si="4">SUM(G59:G60)</f>
        <v>351.3</v>
      </c>
      <c r="H61" s="29">
        <f t="shared" si="4"/>
        <v>379.4</v>
      </c>
      <c r="I61" s="29">
        <f t="shared" si="4"/>
        <v>409.79999999999995</v>
      </c>
      <c r="J61" s="329"/>
      <c r="K61" s="330"/>
      <c r="L61" s="331"/>
      <c r="M61" s="330"/>
      <c r="N61" s="332"/>
      <c r="O61" s="332"/>
      <c r="P61" s="333"/>
      <c r="Q61" s="333"/>
      <c r="R61" s="334">
        <f>(G61-F61)/F61</f>
        <v>0.11135716545397022</v>
      </c>
    </row>
    <row r="62" spans="1:18" s="323" customFormat="1" x14ac:dyDescent="0.2">
      <c r="A62" s="538" t="s">
        <v>0</v>
      </c>
      <c r="B62" s="539" t="s">
        <v>0</v>
      </c>
      <c r="C62" s="540" t="s">
        <v>119</v>
      </c>
      <c r="D62" s="540" t="s">
        <v>21</v>
      </c>
      <c r="E62" s="537" t="s">
        <v>946</v>
      </c>
      <c r="F62" s="537"/>
      <c r="G62" s="537"/>
      <c r="H62" s="537"/>
      <c r="I62" s="537"/>
      <c r="J62" s="326" t="s">
        <v>19</v>
      </c>
      <c r="K62" s="328" t="s">
        <v>486</v>
      </c>
      <c r="L62" s="95" t="s">
        <v>485</v>
      </c>
      <c r="M62" s="327" t="s">
        <v>35</v>
      </c>
      <c r="N62" s="307">
        <v>60</v>
      </c>
      <c r="O62" s="307">
        <v>60</v>
      </c>
      <c r="P62" s="307">
        <v>60</v>
      </c>
      <c r="Q62" s="307" t="s">
        <v>19</v>
      </c>
      <c r="R62" s="322"/>
    </row>
    <row r="63" spans="1:18" s="323" customFormat="1" x14ac:dyDescent="0.2">
      <c r="A63" s="538"/>
      <c r="B63" s="539"/>
      <c r="C63" s="540"/>
      <c r="D63" s="540"/>
      <c r="E63" s="537"/>
      <c r="F63" s="537"/>
      <c r="G63" s="537"/>
      <c r="H63" s="537"/>
      <c r="I63" s="537"/>
      <c r="J63" s="326" t="s">
        <v>19</v>
      </c>
      <c r="K63" s="328" t="s">
        <v>484</v>
      </c>
      <c r="L63" s="95" t="s">
        <v>483</v>
      </c>
      <c r="M63" s="327" t="s">
        <v>35</v>
      </c>
      <c r="N63" s="307">
        <v>20</v>
      </c>
      <c r="O63" s="307">
        <v>20</v>
      </c>
      <c r="P63" s="307">
        <v>30</v>
      </c>
      <c r="Q63" s="307" t="s">
        <v>19</v>
      </c>
      <c r="R63" s="322"/>
    </row>
    <row r="64" spans="1:18" s="323" customFormat="1" x14ac:dyDescent="0.2">
      <c r="A64" s="538"/>
      <c r="B64" s="539"/>
      <c r="C64" s="540"/>
      <c r="D64" s="540"/>
      <c r="E64" s="537"/>
      <c r="F64" s="537"/>
      <c r="G64" s="537"/>
      <c r="H64" s="537"/>
      <c r="I64" s="537"/>
      <c r="J64" s="326" t="s">
        <v>19</v>
      </c>
      <c r="K64" s="328" t="s">
        <v>482</v>
      </c>
      <c r="L64" s="95" t="s">
        <v>481</v>
      </c>
      <c r="M64" s="327" t="s">
        <v>35</v>
      </c>
      <c r="N64" s="307">
        <v>12</v>
      </c>
      <c r="O64" s="307">
        <v>12</v>
      </c>
      <c r="P64" s="307">
        <v>12</v>
      </c>
      <c r="Q64" s="307" t="s">
        <v>19</v>
      </c>
      <c r="R64" s="322"/>
    </row>
    <row r="65" spans="1:18" s="323" customFormat="1" x14ac:dyDescent="0.2">
      <c r="A65" s="538"/>
      <c r="B65" s="539"/>
      <c r="C65" s="540"/>
      <c r="D65" s="540"/>
      <c r="E65" s="293" t="s">
        <v>14</v>
      </c>
      <c r="F65" s="32">
        <v>260</v>
      </c>
      <c r="G65" s="32">
        <v>166.1</v>
      </c>
      <c r="H65" s="106">
        <f>ROUND(G65*Lapas1!$B$1, 1)</f>
        <v>179.4</v>
      </c>
      <c r="I65" s="106">
        <f>ROUND(H65*Lapas1!$B$1, 1)</f>
        <v>193.8</v>
      </c>
      <c r="J65" s="329"/>
      <c r="K65" s="330"/>
      <c r="L65" s="331"/>
      <c r="M65" s="330"/>
      <c r="N65" s="332"/>
      <c r="O65" s="332"/>
      <c r="P65" s="333"/>
      <c r="Q65" s="333"/>
      <c r="R65" s="322"/>
    </row>
    <row r="66" spans="1:18" s="323" customFormat="1" x14ac:dyDescent="0.2">
      <c r="A66" s="538"/>
      <c r="B66" s="539"/>
      <c r="C66" s="540"/>
      <c r="D66" s="540"/>
      <c r="E66" s="294" t="s">
        <v>22</v>
      </c>
      <c r="F66" s="29">
        <f>SUM(F65:F65)</f>
        <v>260</v>
      </c>
      <c r="G66" s="29">
        <f t="shared" ref="G66:I66" si="5">SUM(G65:G65)</f>
        <v>166.1</v>
      </c>
      <c r="H66" s="29">
        <f t="shared" si="5"/>
        <v>179.4</v>
      </c>
      <c r="I66" s="29">
        <f t="shared" si="5"/>
        <v>193.8</v>
      </c>
      <c r="J66" s="329"/>
      <c r="K66" s="330"/>
      <c r="L66" s="331"/>
      <c r="M66" s="330"/>
      <c r="N66" s="332"/>
      <c r="O66" s="332"/>
      <c r="P66" s="333"/>
      <c r="Q66" s="333"/>
      <c r="R66" s="334">
        <f>(G66-F66)/F66</f>
        <v>-0.36115384615384616</v>
      </c>
    </row>
    <row r="67" spans="1:18" s="323" customFormat="1" x14ac:dyDescent="0.2">
      <c r="A67" s="538" t="s">
        <v>0</v>
      </c>
      <c r="B67" s="539" t="s">
        <v>0</v>
      </c>
      <c r="C67" s="540" t="s">
        <v>120</v>
      </c>
      <c r="D67" s="540" t="s">
        <v>21</v>
      </c>
      <c r="E67" s="537" t="s">
        <v>480</v>
      </c>
      <c r="F67" s="537"/>
      <c r="G67" s="537"/>
      <c r="H67" s="537"/>
      <c r="I67" s="537"/>
      <c r="J67" s="536" t="s">
        <v>19</v>
      </c>
      <c r="K67" s="327" t="s">
        <v>479</v>
      </c>
      <c r="L67" s="293" t="s">
        <v>478</v>
      </c>
      <c r="M67" s="327" t="s">
        <v>35</v>
      </c>
      <c r="N67" s="307">
        <v>5000</v>
      </c>
      <c r="O67" s="307">
        <v>5000</v>
      </c>
      <c r="P67" s="307">
        <v>5000</v>
      </c>
      <c r="Q67" s="307" t="s">
        <v>19</v>
      </c>
      <c r="R67" s="322"/>
    </row>
    <row r="68" spans="1:18" s="323" customFormat="1" x14ac:dyDescent="0.2">
      <c r="A68" s="538"/>
      <c r="B68" s="539"/>
      <c r="C68" s="540"/>
      <c r="D68" s="540"/>
      <c r="E68" s="537"/>
      <c r="F68" s="537"/>
      <c r="G68" s="537"/>
      <c r="H68" s="537"/>
      <c r="I68" s="537"/>
      <c r="J68" s="536"/>
      <c r="K68" s="327" t="s">
        <v>477</v>
      </c>
      <c r="L68" s="293" t="s">
        <v>476</v>
      </c>
      <c r="M68" s="327" t="s">
        <v>35</v>
      </c>
      <c r="N68" s="307">
        <v>1200</v>
      </c>
      <c r="O68" s="307">
        <v>1200</v>
      </c>
      <c r="P68" s="307">
        <v>1200</v>
      </c>
      <c r="Q68" s="307" t="s">
        <v>19</v>
      </c>
      <c r="R68" s="322"/>
    </row>
    <row r="69" spans="1:18" s="323" customFormat="1" x14ac:dyDescent="0.2">
      <c r="A69" s="538"/>
      <c r="B69" s="539"/>
      <c r="C69" s="540"/>
      <c r="D69" s="540"/>
      <c r="E69" s="293" t="s">
        <v>14</v>
      </c>
      <c r="F69" s="106">
        <v>2561.1999999999998</v>
      </c>
      <c r="G69" s="32">
        <f>2275.1+400</f>
        <v>2675.1</v>
      </c>
      <c r="H69" s="106">
        <f>ROUND(G69*Lapas1!$B$1, 1)</f>
        <v>2889.1</v>
      </c>
      <c r="I69" s="106">
        <f>ROUND(H69*Lapas1!$B$1, 1)</f>
        <v>3120.2</v>
      </c>
      <c r="J69" s="329"/>
      <c r="K69" s="330"/>
      <c r="L69" s="331"/>
      <c r="M69" s="330"/>
      <c r="N69" s="332"/>
      <c r="O69" s="332"/>
      <c r="P69" s="333"/>
      <c r="Q69" s="333"/>
      <c r="R69" s="322"/>
    </row>
    <row r="70" spans="1:18" s="323" customFormat="1" x14ac:dyDescent="0.2">
      <c r="A70" s="538"/>
      <c r="B70" s="539"/>
      <c r="C70" s="540"/>
      <c r="D70" s="540"/>
      <c r="E70" s="293" t="s">
        <v>15</v>
      </c>
      <c r="F70" s="106">
        <v>372.6</v>
      </c>
      <c r="G70" s="32"/>
      <c r="H70" s="32"/>
      <c r="I70" s="32"/>
      <c r="J70" s="329"/>
      <c r="K70" s="330"/>
      <c r="L70" s="331"/>
      <c r="M70" s="330"/>
      <c r="N70" s="332"/>
      <c r="O70" s="332"/>
      <c r="P70" s="333"/>
      <c r="Q70" s="333"/>
      <c r="R70" s="322"/>
    </row>
    <row r="71" spans="1:18" s="323" customFormat="1" x14ac:dyDescent="0.2">
      <c r="A71" s="538"/>
      <c r="B71" s="539"/>
      <c r="C71" s="540"/>
      <c r="D71" s="540"/>
      <c r="E71" s="294" t="s">
        <v>22</v>
      </c>
      <c r="F71" s="29">
        <f>SUM(F69:F70)</f>
        <v>2933.7999999999997</v>
      </c>
      <c r="G71" s="29">
        <f t="shared" ref="G71:I71" si="6">SUM(G69:G70)</f>
        <v>2675.1</v>
      </c>
      <c r="H71" s="29">
        <f t="shared" si="6"/>
        <v>2889.1</v>
      </c>
      <c r="I71" s="29">
        <f t="shared" si="6"/>
        <v>3120.2</v>
      </c>
      <c r="J71" s="329"/>
      <c r="K71" s="330"/>
      <c r="L71" s="331"/>
      <c r="M71" s="330"/>
      <c r="N71" s="332"/>
      <c r="O71" s="332"/>
      <c r="P71" s="333"/>
      <c r="Q71" s="333"/>
      <c r="R71" s="334">
        <f>(G71-F71)/F71</f>
        <v>-8.8179153316517767E-2</v>
      </c>
    </row>
    <row r="72" spans="1:18" s="323" customFormat="1" ht="13.5" x14ac:dyDescent="0.2">
      <c r="A72" s="538" t="s">
        <v>0</v>
      </c>
      <c r="B72" s="539" t="s">
        <v>0</v>
      </c>
      <c r="C72" s="540" t="s">
        <v>122</v>
      </c>
      <c r="D72" s="540" t="s">
        <v>21</v>
      </c>
      <c r="E72" s="537" t="s">
        <v>909</v>
      </c>
      <c r="F72" s="537"/>
      <c r="G72" s="537"/>
      <c r="H72" s="537"/>
      <c r="I72" s="537"/>
      <c r="J72" s="326" t="s">
        <v>19</v>
      </c>
      <c r="K72" s="328" t="s">
        <v>475</v>
      </c>
      <c r="L72" s="95" t="s">
        <v>474</v>
      </c>
      <c r="M72" s="327" t="s">
        <v>35</v>
      </c>
      <c r="N72" s="307">
        <v>100</v>
      </c>
      <c r="O72" s="307">
        <v>200</v>
      </c>
      <c r="P72" s="307">
        <v>200</v>
      </c>
      <c r="Q72" s="307" t="s">
        <v>19</v>
      </c>
      <c r="R72" s="322"/>
    </row>
    <row r="73" spans="1:18" s="323" customFormat="1" x14ac:dyDescent="0.2">
      <c r="A73" s="538"/>
      <c r="B73" s="539"/>
      <c r="C73" s="540"/>
      <c r="D73" s="540"/>
      <c r="E73" s="293" t="s">
        <v>15</v>
      </c>
      <c r="F73" s="106">
        <f>24.419-5.88</f>
        <v>18.539000000000001</v>
      </c>
      <c r="G73" s="32">
        <v>24.419</v>
      </c>
      <c r="H73" s="106">
        <f>ROUND(G73*Lapas1!$B$2, 1)</f>
        <v>26.4</v>
      </c>
      <c r="I73" s="106">
        <f>ROUND(H73*Lapas1!$B$2, 1)</f>
        <v>28.5</v>
      </c>
      <c r="J73" s="329"/>
      <c r="K73" s="330"/>
      <c r="L73" s="331"/>
      <c r="M73" s="330"/>
      <c r="N73" s="332"/>
      <c r="O73" s="332"/>
      <c r="P73" s="333"/>
      <c r="Q73" s="333"/>
      <c r="R73" s="322"/>
    </row>
    <row r="74" spans="1:18" s="323" customFormat="1" x14ac:dyDescent="0.2">
      <c r="A74" s="538"/>
      <c r="B74" s="539"/>
      <c r="C74" s="540"/>
      <c r="D74" s="540"/>
      <c r="E74" s="294" t="s">
        <v>22</v>
      </c>
      <c r="F74" s="29">
        <f>SUM(F73:F73)</f>
        <v>18.539000000000001</v>
      </c>
      <c r="G74" s="29">
        <f t="shared" ref="G74:I74" si="7">SUM(G73:G73)</f>
        <v>24.419</v>
      </c>
      <c r="H74" s="29">
        <f t="shared" si="7"/>
        <v>26.4</v>
      </c>
      <c r="I74" s="29">
        <f t="shared" si="7"/>
        <v>28.5</v>
      </c>
      <c r="J74" s="329"/>
      <c r="K74" s="330"/>
      <c r="L74" s="331"/>
      <c r="M74" s="330"/>
      <c r="N74" s="332"/>
      <c r="O74" s="332"/>
      <c r="P74" s="333"/>
      <c r="Q74" s="333"/>
      <c r="R74" s="334">
        <f>(G74-F74)/F74</f>
        <v>0.3171692108527967</v>
      </c>
    </row>
    <row r="75" spans="1:18" s="323" customFormat="1" ht="13.5" x14ac:dyDescent="0.2">
      <c r="A75" s="538" t="s">
        <v>0</v>
      </c>
      <c r="B75" s="539" t="s">
        <v>0</v>
      </c>
      <c r="C75" s="540" t="s">
        <v>128</v>
      </c>
      <c r="D75" s="540" t="s">
        <v>21</v>
      </c>
      <c r="E75" s="537" t="s">
        <v>910</v>
      </c>
      <c r="F75" s="537"/>
      <c r="G75" s="537"/>
      <c r="H75" s="537"/>
      <c r="I75" s="537"/>
      <c r="J75" s="326" t="s">
        <v>19</v>
      </c>
      <c r="K75" s="283" t="s">
        <v>537</v>
      </c>
      <c r="L75" s="282" t="s">
        <v>538</v>
      </c>
      <c r="M75" s="283" t="s">
        <v>35</v>
      </c>
      <c r="N75" s="221">
        <v>10</v>
      </c>
      <c r="O75" s="221">
        <v>15</v>
      </c>
      <c r="P75" s="221">
        <v>15</v>
      </c>
      <c r="Q75" s="307" t="s">
        <v>19</v>
      </c>
      <c r="R75" s="322"/>
    </row>
    <row r="76" spans="1:18" s="323" customFormat="1" x14ac:dyDescent="0.2">
      <c r="A76" s="538"/>
      <c r="B76" s="539"/>
      <c r="C76" s="540"/>
      <c r="D76" s="540"/>
      <c r="E76" s="293" t="s">
        <v>14</v>
      </c>
      <c r="F76" s="32">
        <v>0</v>
      </c>
      <c r="G76" s="32">
        <v>50</v>
      </c>
      <c r="H76" s="106">
        <f>ROUND(G76*Lapas1!$B$1, 1)</f>
        <v>54</v>
      </c>
      <c r="I76" s="106">
        <f>ROUND(H76*Lapas1!$B$1, 1)</f>
        <v>58.3</v>
      </c>
      <c r="J76" s="338"/>
      <c r="K76" s="339"/>
      <c r="L76" s="340"/>
      <c r="M76" s="339"/>
      <c r="N76" s="341"/>
      <c r="O76" s="341"/>
      <c r="P76" s="341"/>
      <c r="Q76" s="342"/>
      <c r="R76" s="322"/>
    </row>
    <row r="77" spans="1:18" s="323" customFormat="1" x14ac:dyDescent="0.2">
      <c r="A77" s="538"/>
      <c r="B77" s="539"/>
      <c r="C77" s="540"/>
      <c r="D77" s="540"/>
      <c r="E77" s="293" t="s">
        <v>15</v>
      </c>
      <c r="F77" s="32">
        <v>143.80000000000001</v>
      </c>
      <c r="G77" s="32">
        <v>48.3</v>
      </c>
      <c r="H77" s="106">
        <f>ROUND(G77*Lapas1!$B$2, 1)</f>
        <v>52.2</v>
      </c>
      <c r="I77" s="106">
        <f>ROUND(H77*Lapas1!$B$2, 1)</f>
        <v>56.4</v>
      </c>
      <c r="J77" s="329"/>
      <c r="K77" s="330"/>
      <c r="L77" s="331"/>
      <c r="M77" s="330"/>
      <c r="N77" s="332"/>
      <c r="O77" s="332"/>
      <c r="P77" s="333"/>
      <c r="Q77" s="333"/>
      <c r="R77" s="322"/>
    </row>
    <row r="78" spans="1:18" s="323" customFormat="1" x14ac:dyDescent="0.2">
      <c r="A78" s="538"/>
      <c r="B78" s="539"/>
      <c r="C78" s="540"/>
      <c r="D78" s="540"/>
      <c r="E78" s="294" t="s">
        <v>22</v>
      </c>
      <c r="F78" s="29">
        <f>SUM(F76:F77)</f>
        <v>143.80000000000001</v>
      </c>
      <c r="G78" s="29">
        <f t="shared" ref="G78:I78" si="8">SUM(G76:G77)</f>
        <v>98.3</v>
      </c>
      <c r="H78" s="29">
        <f t="shared" si="8"/>
        <v>106.2</v>
      </c>
      <c r="I78" s="29">
        <f t="shared" si="8"/>
        <v>114.69999999999999</v>
      </c>
      <c r="J78" s="329"/>
      <c r="K78" s="330"/>
      <c r="L78" s="331"/>
      <c r="M78" s="330"/>
      <c r="N78" s="332"/>
      <c r="O78" s="332"/>
      <c r="P78" s="333"/>
      <c r="Q78" s="333"/>
      <c r="R78" s="334">
        <f>(G78-F78)/F78</f>
        <v>-0.31641168289290689</v>
      </c>
    </row>
    <row r="79" spans="1:18" s="323" customFormat="1" ht="13.5" x14ac:dyDescent="0.2">
      <c r="A79" s="538" t="s">
        <v>0</v>
      </c>
      <c r="B79" s="539" t="s">
        <v>0</v>
      </c>
      <c r="C79" s="540" t="s">
        <v>129</v>
      </c>
      <c r="D79" s="540" t="s">
        <v>21</v>
      </c>
      <c r="E79" s="537" t="s">
        <v>889</v>
      </c>
      <c r="F79" s="537"/>
      <c r="G79" s="537"/>
      <c r="H79" s="537"/>
      <c r="I79" s="537"/>
      <c r="J79" s="326" t="s">
        <v>19</v>
      </c>
      <c r="K79" s="327" t="s">
        <v>890</v>
      </c>
      <c r="L79" s="95" t="s">
        <v>518</v>
      </c>
      <c r="M79" s="327" t="s">
        <v>12</v>
      </c>
      <c r="N79" s="307">
        <v>20</v>
      </c>
      <c r="O79" s="307">
        <v>25</v>
      </c>
      <c r="P79" s="307">
        <v>30</v>
      </c>
      <c r="Q79" s="307" t="s">
        <v>19</v>
      </c>
      <c r="R79" s="322"/>
    </row>
    <row r="80" spans="1:18" s="323" customFormat="1" x14ac:dyDescent="0.2">
      <c r="A80" s="538"/>
      <c r="B80" s="539"/>
      <c r="C80" s="540"/>
      <c r="D80" s="540"/>
      <c r="E80" s="293" t="s">
        <v>14</v>
      </c>
      <c r="F80" s="32">
        <v>0</v>
      </c>
      <c r="G80" s="32">
        <v>60</v>
      </c>
      <c r="H80" s="106">
        <f>ROUND(G80*Lapas1!$B$1, 1)</f>
        <v>64.8</v>
      </c>
      <c r="I80" s="106">
        <f>ROUND(H80*Lapas1!$B$1, 1)</f>
        <v>70</v>
      </c>
      <c r="J80" s="329"/>
      <c r="K80" s="330"/>
      <c r="L80" s="331"/>
      <c r="M80" s="330"/>
      <c r="N80" s="332"/>
      <c r="O80" s="332"/>
      <c r="P80" s="333"/>
      <c r="Q80" s="333"/>
      <c r="R80" s="322"/>
    </row>
    <row r="81" spans="1:18" s="323" customFormat="1" x14ac:dyDescent="0.2">
      <c r="A81" s="538"/>
      <c r="B81" s="539"/>
      <c r="C81" s="540"/>
      <c r="D81" s="540"/>
      <c r="E81" s="294" t="s">
        <v>22</v>
      </c>
      <c r="F81" s="29">
        <f>SUM(F80:F80)</f>
        <v>0</v>
      </c>
      <c r="G81" s="29">
        <f>SUM(G80:G80)</f>
        <v>60</v>
      </c>
      <c r="H81" s="29">
        <f>SUM(H80:H80)</f>
        <v>64.8</v>
      </c>
      <c r="I81" s="29">
        <f>SUM(I80:I80)</f>
        <v>70</v>
      </c>
      <c r="J81" s="329"/>
      <c r="K81" s="330"/>
      <c r="L81" s="331"/>
      <c r="M81" s="330"/>
      <c r="N81" s="332"/>
      <c r="O81" s="332"/>
      <c r="P81" s="333"/>
      <c r="Q81" s="333"/>
      <c r="R81" s="334" t="e">
        <f>(G81-F81)/F81</f>
        <v>#DIV/0!</v>
      </c>
    </row>
    <row r="82" spans="1:18" s="323" customFormat="1" ht="13.5" x14ac:dyDescent="0.2">
      <c r="A82" s="538" t="s">
        <v>0</v>
      </c>
      <c r="B82" s="539" t="s">
        <v>0</v>
      </c>
      <c r="C82" s="540" t="s">
        <v>130</v>
      </c>
      <c r="D82" s="540" t="s">
        <v>21</v>
      </c>
      <c r="E82" s="537" t="s">
        <v>895</v>
      </c>
      <c r="F82" s="537"/>
      <c r="G82" s="537"/>
      <c r="H82" s="537"/>
      <c r="I82" s="537"/>
      <c r="J82" s="326" t="s">
        <v>19</v>
      </c>
      <c r="K82" s="327" t="s">
        <v>891</v>
      </c>
      <c r="L82" s="95" t="s">
        <v>517</v>
      </c>
      <c r="M82" s="327" t="s">
        <v>12</v>
      </c>
      <c r="N82" s="307">
        <v>5</v>
      </c>
      <c r="O82" s="307">
        <v>6</v>
      </c>
      <c r="P82" s="307">
        <v>6</v>
      </c>
      <c r="Q82" s="307" t="s">
        <v>19</v>
      </c>
      <c r="R82" s="322"/>
    </row>
    <row r="83" spans="1:18" s="323" customFormat="1" x14ac:dyDescent="0.2">
      <c r="A83" s="538"/>
      <c r="B83" s="539"/>
      <c r="C83" s="540"/>
      <c r="D83" s="540"/>
      <c r="E83" s="293" t="s">
        <v>14</v>
      </c>
      <c r="F83" s="32">
        <v>0</v>
      </c>
      <c r="G83" s="32">
        <v>36.700000000000003</v>
      </c>
      <c r="H83" s="106">
        <f>ROUND(G83*Lapas1!$B$1, 1)</f>
        <v>39.6</v>
      </c>
      <c r="I83" s="106">
        <f>ROUND(H83*Lapas1!$B$1, 1)</f>
        <v>42.8</v>
      </c>
      <c r="J83" s="329"/>
      <c r="K83" s="330"/>
      <c r="L83" s="331"/>
      <c r="M83" s="330"/>
      <c r="N83" s="332"/>
      <c r="O83" s="332"/>
      <c r="P83" s="333"/>
      <c r="Q83" s="333"/>
      <c r="R83" s="322"/>
    </row>
    <row r="84" spans="1:18" s="323" customFormat="1" x14ac:dyDescent="0.2">
      <c r="A84" s="538"/>
      <c r="B84" s="539"/>
      <c r="C84" s="540"/>
      <c r="D84" s="540"/>
      <c r="E84" s="294" t="s">
        <v>22</v>
      </c>
      <c r="F84" s="29">
        <f>SUM(F83:F83)</f>
        <v>0</v>
      </c>
      <c r="G84" s="29">
        <f t="shared" ref="G84:I84" si="9">SUM(G83:G83)</f>
        <v>36.700000000000003</v>
      </c>
      <c r="H84" s="29">
        <f t="shared" si="9"/>
        <v>39.6</v>
      </c>
      <c r="I84" s="29">
        <f t="shared" si="9"/>
        <v>42.8</v>
      </c>
      <c r="J84" s="329"/>
      <c r="K84" s="330"/>
      <c r="L84" s="331"/>
      <c r="M84" s="330"/>
      <c r="N84" s="332"/>
      <c r="O84" s="332"/>
      <c r="P84" s="333"/>
      <c r="Q84" s="333"/>
      <c r="R84" s="334" t="e">
        <f>(G84-F84)/F84</f>
        <v>#DIV/0!</v>
      </c>
    </row>
    <row r="85" spans="1:18" s="323" customFormat="1" ht="13.5" x14ac:dyDescent="0.2">
      <c r="A85" s="538" t="s">
        <v>0</v>
      </c>
      <c r="B85" s="539" t="s">
        <v>0</v>
      </c>
      <c r="C85" s="540" t="s">
        <v>131</v>
      </c>
      <c r="D85" s="540" t="s">
        <v>21</v>
      </c>
      <c r="E85" s="537" t="s">
        <v>980</v>
      </c>
      <c r="F85" s="537"/>
      <c r="G85" s="537"/>
      <c r="H85" s="537"/>
      <c r="I85" s="537"/>
      <c r="J85" s="326" t="s">
        <v>19</v>
      </c>
      <c r="K85" s="327" t="s">
        <v>981</v>
      </c>
      <c r="L85" s="95" t="s">
        <v>982</v>
      </c>
      <c r="M85" s="327" t="s">
        <v>35</v>
      </c>
      <c r="N85" s="248">
        <v>25</v>
      </c>
      <c r="O85" s="248">
        <v>27</v>
      </c>
      <c r="P85" s="248">
        <v>30</v>
      </c>
      <c r="Q85" s="307" t="s">
        <v>19</v>
      </c>
      <c r="R85" s="322"/>
    </row>
    <row r="86" spans="1:18" s="323" customFormat="1" x14ac:dyDescent="0.2">
      <c r="A86" s="538"/>
      <c r="B86" s="539"/>
      <c r="C86" s="540"/>
      <c r="D86" s="540"/>
      <c r="E86" s="293" t="s">
        <v>15</v>
      </c>
      <c r="F86" s="32">
        <v>0</v>
      </c>
      <c r="G86" s="32">
        <v>124.252</v>
      </c>
      <c r="H86" s="106">
        <f>ROUND(G86*Lapas1!$B$2, 1)</f>
        <v>134.19999999999999</v>
      </c>
      <c r="I86" s="106">
        <f>ROUND(H86*Lapas1!$B$2, 1)</f>
        <v>144.9</v>
      </c>
      <c r="J86" s="329"/>
      <c r="K86" s="330"/>
      <c r="L86" s="331"/>
      <c r="M86" s="330"/>
      <c r="N86" s="332"/>
      <c r="O86" s="332"/>
      <c r="P86" s="333"/>
      <c r="Q86" s="333"/>
      <c r="R86" s="322"/>
    </row>
    <row r="87" spans="1:18" s="323" customFormat="1" x14ac:dyDescent="0.2">
      <c r="A87" s="538"/>
      <c r="B87" s="539"/>
      <c r="C87" s="540"/>
      <c r="D87" s="540"/>
      <c r="E87" s="294" t="s">
        <v>22</v>
      </c>
      <c r="F87" s="29">
        <f>SUM(F86:F86)</f>
        <v>0</v>
      </c>
      <c r="G87" s="29">
        <f t="shared" ref="G87:I87" si="10">SUM(G86:G86)</f>
        <v>124.252</v>
      </c>
      <c r="H87" s="29">
        <f t="shared" si="10"/>
        <v>134.19999999999999</v>
      </c>
      <c r="I87" s="29">
        <f t="shared" si="10"/>
        <v>144.9</v>
      </c>
      <c r="J87" s="329"/>
      <c r="K87" s="330"/>
      <c r="L87" s="331"/>
      <c r="M87" s="330"/>
      <c r="N87" s="332"/>
      <c r="O87" s="332"/>
      <c r="P87" s="333"/>
      <c r="Q87" s="333"/>
      <c r="R87" s="334" t="e">
        <f>(G87-F87)/F87</f>
        <v>#DIV/0!</v>
      </c>
    </row>
    <row r="88" spans="1:18" s="323" customFormat="1" x14ac:dyDescent="0.2">
      <c r="A88" s="320" t="s">
        <v>0</v>
      </c>
      <c r="B88" s="343" t="s">
        <v>0</v>
      </c>
      <c r="C88" s="344"/>
      <c r="D88" s="344" t="s">
        <v>31</v>
      </c>
      <c r="E88" s="345" t="s">
        <v>275</v>
      </c>
      <c r="F88" s="41">
        <f>F87+F84+F81+F78+F74+F71+F66+F61+F57+F47+F51+F42+F39+F31+F27+F22+F18</f>
        <v>8174.0110000000004</v>
      </c>
      <c r="G88" s="41">
        <f>G87+G84+G81+G78+G74+G71+G66+G61+G57+G47+G51+G42+G39+G31+G27+G22+G18</f>
        <v>8736.518</v>
      </c>
      <c r="H88" s="41">
        <f>H87+H84+H81+H78+H74+H71+H66+H61+H57+H47+H51+H42+H39+H31+H27+H22+H18</f>
        <v>9435.3000000000029</v>
      </c>
      <c r="I88" s="41">
        <f>I87+I84+I81+I78+I74+I71+I66+I61+I57+I47+I51+I42+I39+I31+I27+I22+I18</f>
        <v>10190.200000000001</v>
      </c>
      <c r="J88" s="346"/>
      <c r="K88" s="347"/>
      <c r="L88" s="347"/>
      <c r="M88" s="347"/>
      <c r="N88" s="348"/>
      <c r="O88" s="348"/>
      <c r="P88" s="348"/>
      <c r="Q88" s="348"/>
      <c r="R88" s="322"/>
    </row>
    <row r="89" spans="1:18" s="323" customFormat="1" ht="25.5" x14ac:dyDescent="0.2">
      <c r="A89" s="538" t="s">
        <v>0</v>
      </c>
      <c r="B89" s="567" t="s">
        <v>10</v>
      </c>
      <c r="C89" s="543"/>
      <c r="D89" s="543" t="s">
        <v>31</v>
      </c>
      <c r="E89" s="558" t="s">
        <v>936</v>
      </c>
      <c r="F89" s="558"/>
      <c r="G89" s="558"/>
      <c r="H89" s="558"/>
      <c r="I89" s="558"/>
      <c r="J89" s="543" t="s">
        <v>404</v>
      </c>
      <c r="K89" s="324" t="s">
        <v>473</v>
      </c>
      <c r="L89" s="324" t="s">
        <v>472</v>
      </c>
      <c r="M89" s="324" t="s">
        <v>11</v>
      </c>
      <c r="N89" s="308">
        <v>100</v>
      </c>
      <c r="O89" s="308">
        <v>100</v>
      </c>
      <c r="P89" s="308">
        <v>100</v>
      </c>
      <c r="Q89" s="556" t="s">
        <v>540</v>
      </c>
      <c r="R89" s="322"/>
    </row>
    <row r="90" spans="1:18" s="323" customFormat="1" ht="25.5" x14ac:dyDescent="0.2">
      <c r="A90" s="538"/>
      <c r="B90" s="567"/>
      <c r="C90" s="543"/>
      <c r="D90" s="543"/>
      <c r="E90" s="558"/>
      <c r="F90" s="558"/>
      <c r="G90" s="558"/>
      <c r="H90" s="558"/>
      <c r="I90" s="558"/>
      <c r="J90" s="543"/>
      <c r="K90" s="324" t="s">
        <v>471</v>
      </c>
      <c r="L90" s="324" t="s">
        <v>470</v>
      </c>
      <c r="M90" s="324" t="s">
        <v>11</v>
      </c>
      <c r="N90" s="308">
        <v>100</v>
      </c>
      <c r="O90" s="308">
        <v>100</v>
      </c>
      <c r="P90" s="308">
        <v>100</v>
      </c>
      <c r="Q90" s="556"/>
      <c r="R90" s="322"/>
    </row>
    <row r="91" spans="1:18" s="323" customFormat="1" ht="25.5" x14ac:dyDescent="0.2">
      <c r="A91" s="538"/>
      <c r="B91" s="567"/>
      <c r="C91" s="543"/>
      <c r="D91" s="543"/>
      <c r="E91" s="558"/>
      <c r="F91" s="558"/>
      <c r="G91" s="558"/>
      <c r="H91" s="558"/>
      <c r="I91" s="558"/>
      <c r="J91" s="543"/>
      <c r="K91" s="324" t="s">
        <v>469</v>
      </c>
      <c r="L91" s="324" t="s">
        <v>468</v>
      </c>
      <c r="M91" s="324" t="s">
        <v>11</v>
      </c>
      <c r="N91" s="308">
        <v>100</v>
      </c>
      <c r="O91" s="308">
        <v>100</v>
      </c>
      <c r="P91" s="308">
        <v>100</v>
      </c>
      <c r="Q91" s="556"/>
      <c r="R91" s="322"/>
    </row>
    <row r="92" spans="1:18" s="323" customFormat="1" x14ac:dyDescent="0.2">
      <c r="A92" s="538" t="s">
        <v>0</v>
      </c>
      <c r="B92" s="539" t="s">
        <v>10</v>
      </c>
      <c r="C92" s="536" t="s">
        <v>0</v>
      </c>
      <c r="D92" s="536" t="s">
        <v>21</v>
      </c>
      <c r="E92" s="537" t="s">
        <v>467</v>
      </c>
      <c r="F92" s="537"/>
      <c r="G92" s="537"/>
      <c r="H92" s="537"/>
      <c r="I92" s="537"/>
      <c r="J92" s="536" t="s">
        <v>19</v>
      </c>
      <c r="K92" s="327" t="s">
        <v>996</v>
      </c>
      <c r="L92" s="293" t="s">
        <v>466</v>
      </c>
      <c r="M92" s="327" t="s">
        <v>35</v>
      </c>
      <c r="N92" s="336">
        <v>85</v>
      </c>
      <c r="O92" s="336">
        <v>85</v>
      </c>
      <c r="P92" s="336">
        <v>85</v>
      </c>
      <c r="Q92" s="336" t="s">
        <v>19</v>
      </c>
      <c r="R92" s="322"/>
    </row>
    <row r="93" spans="1:18" s="323" customFormat="1" x14ac:dyDescent="0.2">
      <c r="A93" s="538"/>
      <c r="B93" s="539"/>
      <c r="C93" s="536"/>
      <c r="D93" s="536"/>
      <c r="E93" s="537"/>
      <c r="F93" s="537"/>
      <c r="G93" s="537"/>
      <c r="H93" s="537"/>
      <c r="I93" s="537"/>
      <c r="J93" s="536"/>
      <c r="K93" s="327" t="s">
        <v>465</v>
      </c>
      <c r="L93" s="293" t="s">
        <v>997</v>
      </c>
      <c r="M93" s="327" t="s">
        <v>35</v>
      </c>
      <c r="N93" s="336">
        <v>8</v>
      </c>
      <c r="O93" s="336">
        <v>8</v>
      </c>
      <c r="P93" s="336">
        <v>8</v>
      </c>
      <c r="Q93" s="336" t="s">
        <v>19</v>
      </c>
      <c r="R93" s="322"/>
    </row>
    <row r="94" spans="1:18" s="323" customFormat="1" ht="25.5" x14ac:dyDescent="0.2">
      <c r="A94" s="538"/>
      <c r="B94" s="539"/>
      <c r="C94" s="536"/>
      <c r="D94" s="536"/>
      <c r="E94" s="537"/>
      <c r="F94" s="537"/>
      <c r="G94" s="537"/>
      <c r="H94" s="537"/>
      <c r="I94" s="537"/>
      <c r="J94" s="536"/>
      <c r="K94" s="327" t="s">
        <v>464</v>
      </c>
      <c r="L94" s="293" t="s">
        <v>998</v>
      </c>
      <c r="M94" s="327" t="s">
        <v>35</v>
      </c>
      <c r="N94" s="336">
        <v>70</v>
      </c>
      <c r="O94" s="336">
        <v>70</v>
      </c>
      <c r="P94" s="336">
        <v>70</v>
      </c>
      <c r="Q94" s="336" t="s">
        <v>19</v>
      </c>
      <c r="R94" s="322"/>
    </row>
    <row r="95" spans="1:18" s="323" customFormat="1" x14ac:dyDescent="0.2">
      <c r="A95" s="538"/>
      <c r="B95" s="539"/>
      <c r="C95" s="536"/>
      <c r="D95" s="536"/>
      <c r="E95" s="537"/>
      <c r="F95" s="537"/>
      <c r="G95" s="537"/>
      <c r="H95" s="537"/>
      <c r="I95" s="537"/>
      <c r="J95" s="536"/>
      <c r="K95" s="327" t="s">
        <v>463</v>
      </c>
      <c r="L95" s="293" t="s">
        <v>999</v>
      </c>
      <c r="M95" s="327" t="s">
        <v>35</v>
      </c>
      <c r="N95" s="336">
        <v>15</v>
      </c>
      <c r="O95" s="336">
        <v>15</v>
      </c>
      <c r="P95" s="336">
        <v>15</v>
      </c>
      <c r="Q95" s="336" t="s">
        <v>19</v>
      </c>
      <c r="R95" s="322"/>
    </row>
    <row r="96" spans="1:18" s="323" customFormat="1" x14ac:dyDescent="0.2">
      <c r="A96" s="538"/>
      <c r="B96" s="539"/>
      <c r="C96" s="536"/>
      <c r="D96" s="536"/>
      <c r="E96" s="537"/>
      <c r="F96" s="537"/>
      <c r="G96" s="537"/>
      <c r="H96" s="537"/>
      <c r="I96" s="537"/>
      <c r="J96" s="536"/>
      <c r="K96" s="327" t="s">
        <v>462</v>
      </c>
      <c r="L96" s="293" t="s">
        <v>979</v>
      </c>
      <c r="M96" s="327" t="s">
        <v>12</v>
      </c>
      <c r="N96" s="336">
        <v>172</v>
      </c>
      <c r="O96" s="336">
        <v>180</v>
      </c>
      <c r="P96" s="336">
        <v>180</v>
      </c>
      <c r="Q96" s="336" t="s">
        <v>19</v>
      </c>
      <c r="R96" s="322"/>
    </row>
    <row r="97" spans="1:18" s="323" customFormat="1" x14ac:dyDescent="0.2">
      <c r="A97" s="538"/>
      <c r="B97" s="539"/>
      <c r="C97" s="536"/>
      <c r="D97" s="536"/>
      <c r="E97" s="293" t="s">
        <v>14</v>
      </c>
      <c r="F97" s="106">
        <v>1560.2</v>
      </c>
      <c r="G97" s="32">
        <v>1785.8</v>
      </c>
      <c r="H97" s="106">
        <f>ROUND(G97*Lapas1!$B$1, 1)</f>
        <v>1928.7</v>
      </c>
      <c r="I97" s="106">
        <f>ROUND(H97*Lapas1!$B$1, 1)</f>
        <v>2083</v>
      </c>
      <c r="J97" s="329"/>
      <c r="K97" s="330"/>
      <c r="L97" s="331"/>
      <c r="M97" s="330"/>
      <c r="N97" s="332"/>
      <c r="O97" s="332"/>
      <c r="P97" s="333"/>
      <c r="Q97" s="333"/>
      <c r="R97" s="322"/>
    </row>
    <row r="98" spans="1:18" s="323" customFormat="1" x14ac:dyDescent="0.2">
      <c r="A98" s="538"/>
      <c r="B98" s="539"/>
      <c r="C98" s="536"/>
      <c r="D98" s="536"/>
      <c r="E98" s="293" t="s">
        <v>15</v>
      </c>
      <c r="F98" s="106">
        <v>183.244</v>
      </c>
      <c r="G98" s="32">
        <v>139.489</v>
      </c>
      <c r="H98" s="106">
        <f>ROUND(G98*Lapas1!$B$2, 1)</f>
        <v>150.6</v>
      </c>
      <c r="I98" s="106">
        <f>ROUND(H98*Lapas1!$B$2, 1)</f>
        <v>162.6</v>
      </c>
      <c r="J98" s="329"/>
      <c r="K98" s="330"/>
      <c r="L98" s="331"/>
      <c r="M98" s="330"/>
      <c r="N98" s="332"/>
      <c r="O98" s="332"/>
      <c r="P98" s="333"/>
      <c r="Q98" s="333"/>
      <c r="R98" s="322"/>
    </row>
    <row r="99" spans="1:18" s="323" customFormat="1" x14ac:dyDescent="0.2">
      <c r="A99" s="538"/>
      <c r="B99" s="539"/>
      <c r="C99" s="536"/>
      <c r="D99" s="536"/>
      <c r="E99" s="293" t="s">
        <v>17</v>
      </c>
      <c r="F99" s="106">
        <v>76.599999999999994</v>
      </c>
      <c r="G99" s="32">
        <v>77.2</v>
      </c>
      <c r="H99" s="106">
        <f>ROUND(G99*Lapas1!$B$3, 1)</f>
        <v>83.4</v>
      </c>
      <c r="I99" s="106">
        <f>ROUND(H99*Lapas1!$B$3, 1)</f>
        <v>90.1</v>
      </c>
      <c r="J99" s="329"/>
      <c r="K99" s="330"/>
      <c r="L99" s="331"/>
      <c r="M99" s="330"/>
      <c r="N99" s="332"/>
      <c r="O99" s="332"/>
      <c r="P99" s="333"/>
      <c r="Q99" s="333"/>
      <c r="R99" s="322"/>
    </row>
    <row r="100" spans="1:18" s="323" customFormat="1" x14ac:dyDescent="0.2">
      <c r="A100" s="538"/>
      <c r="B100" s="539"/>
      <c r="C100" s="536"/>
      <c r="D100" s="536"/>
      <c r="E100" s="294" t="s">
        <v>22</v>
      </c>
      <c r="F100" s="29">
        <f>SUM(F97:F99)</f>
        <v>1820.0439999999999</v>
      </c>
      <c r="G100" s="29">
        <f t="shared" ref="G100:I100" si="11">SUM(G97:G99)</f>
        <v>2002.489</v>
      </c>
      <c r="H100" s="29">
        <f t="shared" si="11"/>
        <v>2162.7000000000003</v>
      </c>
      <c r="I100" s="29">
        <f t="shared" si="11"/>
        <v>2335.6999999999998</v>
      </c>
      <c r="J100" s="329"/>
      <c r="K100" s="330"/>
      <c r="L100" s="331"/>
      <c r="M100" s="330"/>
      <c r="N100" s="332"/>
      <c r="O100" s="332"/>
      <c r="P100" s="333"/>
      <c r="Q100" s="333"/>
      <c r="R100" s="334">
        <f>(G100-F100)/F100</f>
        <v>0.1002420820595547</v>
      </c>
    </row>
    <row r="101" spans="1:18" s="323" customFormat="1" ht="25.5" x14ac:dyDescent="0.2">
      <c r="A101" s="538" t="s">
        <v>0</v>
      </c>
      <c r="B101" s="539" t="s">
        <v>10</v>
      </c>
      <c r="C101" s="540" t="s">
        <v>10</v>
      </c>
      <c r="D101" s="540" t="s">
        <v>21</v>
      </c>
      <c r="E101" s="537" t="s">
        <v>257</v>
      </c>
      <c r="F101" s="537"/>
      <c r="G101" s="537"/>
      <c r="H101" s="537"/>
      <c r="I101" s="537"/>
      <c r="J101" s="326" t="s">
        <v>19</v>
      </c>
      <c r="K101" s="327" t="s">
        <v>461</v>
      </c>
      <c r="L101" s="293" t="s">
        <v>912</v>
      </c>
      <c r="M101" s="327" t="s">
        <v>12</v>
      </c>
      <c r="N101" s="307">
        <v>14</v>
      </c>
      <c r="O101" s="307">
        <v>14</v>
      </c>
      <c r="P101" s="307">
        <v>15</v>
      </c>
      <c r="Q101" s="307" t="s">
        <v>19</v>
      </c>
      <c r="R101" s="322"/>
    </row>
    <row r="102" spans="1:18" s="323" customFormat="1" x14ac:dyDescent="0.2">
      <c r="A102" s="538"/>
      <c r="B102" s="539"/>
      <c r="C102" s="540"/>
      <c r="D102" s="540"/>
      <c r="E102" s="293" t="s">
        <v>14</v>
      </c>
      <c r="F102" s="32">
        <v>40</v>
      </c>
      <c r="G102" s="32">
        <v>41.3</v>
      </c>
      <c r="H102" s="106">
        <f>ROUND(G102*Lapas1!$B$1, 1)</f>
        <v>44.6</v>
      </c>
      <c r="I102" s="106">
        <f>ROUND(H102*Lapas1!$B$1, 1)</f>
        <v>48.2</v>
      </c>
      <c r="J102" s="329"/>
      <c r="K102" s="330"/>
      <c r="L102" s="331"/>
      <c r="M102" s="330"/>
      <c r="N102" s="332"/>
      <c r="O102" s="332"/>
      <c r="P102" s="333"/>
      <c r="Q102" s="333"/>
      <c r="R102" s="322"/>
    </row>
    <row r="103" spans="1:18" s="323" customFormat="1" x14ac:dyDescent="0.2">
      <c r="A103" s="538"/>
      <c r="B103" s="539"/>
      <c r="C103" s="540"/>
      <c r="D103" s="540"/>
      <c r="E103" s="294" t="s">
        <v>22</v>
      </c>
      <c r="F103" s="29">
        <f>SUM(F102:F102)</f>
        <v>40</v>
      </c>
      <c r="G103" s="29">
        <f t="shared" ref="G103:I103" si="12">SUM(G102:G102)</f>
        <v>41.3</v>
      </c>
      <c r="H103" s="29">
        <f t="shared" si="12"/>
        <v>44.6</v>
      </c>
      <c r="I103" s="29">
        <f t="shared" si="12"/>
        <v>48.2</v>
      </c>
      <c r="J103" s="329"/>
      <c r="K103" s="330"/>
      <c r="L103" s="331"/>
      <c r="M103" s="330"/>
      <c r="N103" s="332"/>
      <c r="O103" s="332"/>
      <c r="P103" s="333"/>
      <c r="Q103" s="333"/>
      <c r="R103" s="334">
        <f>(G103-F103)/F103</f>
        <v>3.2499999999999932E-2</v>
      </c>
    </row>
    <row r="104" spans="1:18" s="323" customFormat="1" ht="25.5" x14ac:dyDescent="0.2">
      <c r="A104" s="538" t="s">
        <v>0</v>
      </c>
      <c r="B104" s="539" t="s">
        <v>10</v>
      </c>
      <c r="C104" s="540" t="s">
        <v>24</v>
      </c>
      <c r="D104" s="540" t="s">
        <v>21</v>
      </c>
      <c r="E104" s="537" t="s">
        <v>460</v>
      </c>
      <c r="F104" s="537"/>
      <c r="G104" s="537"/>
      <c r="H104" s="537"/>
      <c r="I104" s="537"/>
      <c r="J104" s="349" t="s">
        <v>19</v>
      </c>
      <c r="K104" s="327" t="s">
        <v>459</v>
      </c>
      <c r="L104" s="293" t="s">
        <v>458</v>
      </c>
      <c r="M104" s="327" t="s">
        <v>35</v>
      </c>
      <c r="N104" s="336">
        <v>70</v>
      </c>
      <c r="O104" s="336">
        <v>75</v>
      </c>
      <c r="P104" s="336">
        <v>80</v>
      </c>
      <c r="Q104" s="336" t="s">
        <v>19</v>
      </c>
      <c r="R104" s="322"/>
    </row>
    <row r="105" spans="1:18" s="323" customFormat="1" x14ac:dyDescent="0.2">
      <c r="A105" s="538"/>
      <c r="B105" s="539"/>
      <c r="C105" s="540"/>
      <c r="D105" s="540"/>
      <c r="E105" s="293" t="s">
        <v>14</v>
      </c>
      <c r="F105" s="106">
        <v>303.3</v>
      </c>
      <c r="G105" s="32">
        <v>343.4</v>
      </c>
      <c r="H105" s="106">
        <f>ROUND(G105*Lapas1!$B$1, 1)</f>
        <v>370.9</v>
      </c>
      <c r="I105" s="106">
        <f>ROUND(H105*Lapas1!$B$1, 1)</f>
        <v>400.6</v>
      </c>
      <c r="J105" s="329"/>
      <c r="K105" s="330"/>
      <c r="L105" s="331"/>
      <c r="M105" s="330"/>
      <c r="N105" s="332"/>
      <c r="O105" s="332"/>
      <c r="P105" s="333"/>
      <c r="Q105" s="333"/>
      <c r="R105" s="322"/>
    </row>
    <row r="106" spans="1:18" s="323" customFormat="1" x14ac:dyDescent="0.2">
      <c r="A106" s="538"/>
      <c r="B106" s="539"/>
      <c r="C106" s="540"/>
      <c r="D106" s="540"/>
      <c r="E106" s="293" t="s">
        <v>15</v>
      </c>
      <c r="F106" s="106">
        <v>25.001000000000001</v>
      </c>
      <c r="G106" s="32">
        <v>27</v>
      </c>
      <c r="H106" s="106">
        <f>ROUND(G106*Lapas1!$B$2, 1)</f>
        <v>29.2</v>
      </c>
      <c r="I106" s="106">
        <f>ROUND(H106*Lapas1!$B$2, 1)</f>
        <v>31.5</v>
      </c>
      <c r="J106" s="329"/>
      <c r="K106" s="330"/>
      <c r="L106" s="331"/>
      <c r="M106" s="330"/>
      <c r="N106" s="332"/>
      <c r="O106" s="332"/>
      <c r="P106" s="333"/>
      <c r="Q106" s="333"/>
      <c r="R106" s="322"/>
    </row>
    <row r="107" spans="1:18" s="323" customFormat="1" x14ac:dyDescent="0.2">
      <c r="A107" s="538"/>
      <c r="B107" s="539"/>
      <c r="C107" s="540"/>
      <c r="D107" s="540"/>
      <c r="E107" s="293" t="s">
        <v>17</v>
      </c>
      <c r="F107" s="106">
        <f>14+3</f>
        <v>17</v>
      </c>
      <c r="G107" s="32">
        <v>16</v>
      </c>
      <c r="H107" s="106">
        <f>ROUND(G107*Lapas1!$B$3, 1)</f>
        <v>17.3</v>
      </c>
      <c r="I107" s="106">
        <f>ROUND(H107*Lapas1!$B$3, 1)</f>
        <v>18.7</v>
      </c>
      <c r="J107" s="329"/>
      <c r="K107" s="330"/>
      <c r="L107" s="331"/>
      <c r="M107" s="330"/>
      <c r="N107" s="332"/>
      <c r="O107" s="332"/>
      <c r="P107" s="333"/>
      <c r="Q107" s="333"/>
      <c r="R107" s="322"/>
    </row>
    <row r="108" spans="1:18" s="323" customFormat="1" x14ac:dyDescent="0.2">
      <c r="A108" s="538"/>
      <c r="B108" s="539"/>
      <c r="C108" s="540"/>
      <c r="D108" s="540"/>
      <c r="E108" s="294" t="s">
        <v>22</v>
      </c>
      <c r="F108" s="29">
        <f>SUM(F105:F107)</f>
        <v>345.30099999999999</v>
      </c>
      <c r="G108" s="29">
        <f t="shared" ref="G108:I108" si="13">SUM(G105:G107)</f>
        <v>386.4</v>
      </c>
      <c r="H108" s="29">
        <f t="shared" si="13"/>
        <v>417.4</v>
      </c>
      <c r="I108" s="29">
        <f t="shared" si="13"/>
        <v>450.8</v>
      </c>
      <c r="J108" s="329"/>
      <c r="K108" s="330"/>
      <c r="L108" s="331"/>
      <c r="M108" s="330"/>
      <c r="N108" s="332"/>
      <c r="O108" s="332"/>
      <c r="P108" s="333"/>
      <c r="Q108" s="333"/>
      <c r="R108" s="334">
        <f>(G108-F108)/F108</f>
        <v>0.11902369237274144</v>
      </c>
    </row>
    <row r="109" spans="1:18" s="323" customFormat="1" x14ac:dyDescent="0.2">
      <c r="A109" s="320" t="s">
        <v>0</v>
      </c>
      <c r="B109" s="343" t="s">
        <v>10</v>
      </c>
      <c r="C109" s="344"/>
      <c r="D109" s="344" t="s">
        <v>31</v>
      </c>
      <c r="E109" s="345" t="s">
        <v>275</v>
      </c>
      <c r="F109" s="41">
        <f>F100+F103+F108</f>
        <v>2205.3449999999998</v>
      </c>
      <c r="G109" s="41">
        <f t="shared" ref="G109:I109" si="14">G100+G103+G108</f>
        <v>2430.1889999999999</v>
      </c>
      <c r="H109" s="41">
        <f t="shared" si="14"/>
        <v>2624.7000000000003</v>
      </c>
      <c r="I109" s="41">
        <f t="shared" si="14"/>
        <v>2834.7</v>
      </c>
      <c r="J109" s="346"/>
      <c r="K109" s="347"/>
      <c r="L109" s="347"/>
      <c r="M109" s="347"/>
      <c r="N109" s="348"/>
      <c r="O109" s="348"/>
      <c r="P109" s="348"/>
      <c r="Q109" s="348"/>
      <c r="R109" s="322"/>
    </row>
    <row r="110" spans="1:18" s="323" customFormat="1" x14ac:dyDescent="0.2">
      <c r="A110" s="522" t="s">
        <v>0</v>
      </c>
      <c r="B110" s="524" t="s">
        <v>24</v>
      </c>
      <c r="C110" s="526"/>
      <c r="D110" s="526" t="s">
        <v>18</v>
      </c>
      <c r="E110" s="528" t="s">
        <v>457</v>
      </c>
      <c r="F110" s="529"/>
      <c r="G110" s="529"/>
      <c r="H110" s="529"/>
      <c r="I110" s="530"/>
      <c r="J110" s="526" t="s">
        <v>456</v>
      </c>
      <c r="K110" s="324" t="s">
        <v>455</v>
      </c>
      <c r="L110" s="324" t="s">
        <v>1001</v>
      </c>
      <c r="M110" s="324" t="s">
        <v>11</v>
      </c>
      <c r="N110" s="308">
        <v>12.5</v>
      </c>
      <c r="O110" s="308">
        <v>12</v>
      </c>
      <c r="P110" s="308">
        <v>12</v>
      </c>
      <c r="Q110" s="534" t="s">
        <v>541</v>
      </c>
      <c r="R110" s="322"/>
    </row>
    <row r="111" spans="1:18" s="323" customFormat="1" ht="38.25" x14ac:dyDescent="0.2">
      <c r="A111" s="523"/>
      <c r="B111" s="525"/>
      <c r="C111" s="527"/>
      <c r="D111" s="527"/>
      <c r="E111" s="531"/>
      <c r="F111" s="532"/>
      <c r="G111" s="532"/>
      <c r="H111" s="532"/>
      <c r="I111" s="533"/>
      <c r="J111" s="527"/>
      <c r="K111" s="324" t="s">
        <v>1002</v>
      </c>
      <c r="L111" s="324" t="s">
        <v>978</v>
      </c>
      <c r="M111" s="324" t="s">
        <v>11</v>
      </c>
      <c r="N111" s="308">
        <v>14</v>
      </c>
      <c r="O111" s="308">
        <v>14</v>
      </c>
      <c r="P111" s="308">
        <v>14</v>
      </c>
      <c r="Q111" s="535"/>
      <c r="R111" s="322"/>
    </row>
    <row r="112" spans="1:18" s="323" customFormat="1" x14ac:dyDescent="0.2">
      <c r="A112" s="538" t="s">
        <v>0</v>
      </c>
      <c r="B112" s="539" t="s">
        <v>24</v>
      </c>
      <c r="C112" s="536" t="s">
        <v>0</v>
      </c>
      <c r="D112" s="536" t="s">
        <v>21</v>
      </c>
      <c r="E112" s="537" t="s">
        <v>454</v>
      </c>
      <c r="F112" s="537"/>
      <c r="G112" s="537"/>
      <c r="H112" s="537"/>
      <c r="I112" s="537"/>
      <c r="J112" s="569" t="s">
        <v>19</v>
      </c>
      <c r="K112" s="327" t="s">
        <v>453</v>
      </c>
      <c r="L112" s="293" t="s">
        <v>452</v>
      </c>
      <c r="M112" s="327" t="s">
        <v>35</v>
      </c>
      <c r="N112" s="307">
        <v>30</v>
      </c>
      <c r="O112" s="307">
        <v>40</v>
      </c>
      <c r="P112" s="307">
        <v>60</v>
      </c>
      <c r="Q112" s="307" t="s">
        <v>19</v>
      </c>
      <c r="R112" s="322"/>
    </row>
    <row r="113" spans="1:18" s="323" customFormat="1" x14ac:dyDescent="0.2">
      <c r="A113" s="538"/>
      <c r="B113" s="539"/>
      <c r="C113" s="536"/>
      <c r="D113" s="536"/>
      <c r="E113" s="537"/>
      <c r="F113" s="537"/>
      <c r="G113" s="537"/>
      <c r="H113" s="537"/>
      <c r="I113" s="537"/>
      <c r="J113" s="569"/>
      <c r="K113" s="327" t="s">
        <v>451</v>
      </c>
      <c r="L113" s="293" t="s">
        <v>450</v>
      </c>
      <c r="M113" s="327" t="s">
        <v>35</v>
      </c>
      <c r="N113" s="307">
        <v>50</v>
      </c>
      <c r="O113" s="307">
        <v>60</v>
      </c>
      <c r="P113" s="307">
        <v>60</v>
      </c>
      <c r="Q113" s="307" t="s">
        <v>19</v>
      </c>
      <c r="R113" s="322"/>
    </row>
    <row r="114" spans="1:18" s="323" customFormat="1" x14ac:dyDescent="0.2">
      <c r="A114" s="538"/>
      <c r="B114" s="539"/>
      <c r="C114" s="536"/>
      <c r="D114" s="536"/>
      <c r="E114" s="293" t="s">
        <v>15</v>
      </c>
      <c r="F114" s="32">
        <v>107.2</v>
      </c>
      <c r="G114" s="32">
        <v>109.2</v>
      </c>
      <c r="H114" s="106">
        <f>ROUND(G114*Lapas1!$B$2, 1)</f>
        <v>117.9</v>
      </c>
      <c r="I114" s="106">
        <f>ROUND(H114*Lapas1!$B$2, 1)</f>
        <v>127.3</v>
      </c>
      <c r="J114" s="329"/>
      <c r="K114" s="330"/>
      <c r="L114" s="331"/>
      <c r="M114" s="330"/>
      <c r="N114" s="332"/>
      <c r="O114" s="332"/>
      <c r="P114" s="333"/>
      <c r="Q114" s="333"/>
      <c r="R114" s="322"/>
    </row>
    <row r="115" spans="1:18" s="323" customFormat="1" x14ac:dyDescent="0.2">
      <c r="A115" s="538"/>
      <c r="B115" s="539"/>
      <c r="C115" s="536"/>
      <c r="D115" s="536"/>
      <c r="E115" s="294" t="s">
        <v>22</v>
      </c>
      <c r="F115" s="29">
        <f>SUM(F114:F114)</f>
        <v>107.2</v>
      </c>
      <c r="G115" s="29">
        <f t="shared" ref="G115:I115" si="15">SUM(G114:G114)</f>
        <v>109.2</v>
      </c>
      <c r="H115" s="29">
        <f t="shared" si="15"/>
        <v>117.9</v>
      </c>
      <c r="I115" s="29">
        <f t="shared" si="15"/>
        <v>127.3</v>
      </c>
      <c r="J115" s="329"/>
      <c r="K115" s="330"/>
      <c r="L115" s="331"/>
      <c r="M115" s="330"/>
      <c r="N115" s="332"/>
      <c r="O115" s="332"/>
      <c r="P115" s="333"/>
      <c r="Q115" s="333"/>
      <c r="R115" s="334">
        <f>(G115-F115)/F115</f>
        <v>1.8656716417910446E-2</v>
      </c>
    </row>
    <row r="116" spans="1:18" s="323" customFormat="1" x14ac:dyDescent="0.2">
      <c r="A116" s="320" t="s">
        <v>0</v>
      </c>
      <c r="B116" s="343" t="s">
        <v>24</v>
      </c>
      <c r="C116" s="344"/>
      <c r="D116" s="344" t="s">
        <v>18</v>
      </c>
      <c r="E116" s="345" t="s">
        <v>275</v>
      </c>
      <c r="F116" s="350">
        <f>F115</f>
        <v>107.2</v>
      </c>
      <c r="G116" s="350">
        <f t="shared" ref="G116:I116" si="16">G115</f>
        <v>109.2</v>
      </c>
      <c r="H116" s="350">
        <f t="shared" si="16"/>
        <v>117.9</v>
      </c>
      <c r="I116" s="350">
        <f t="shared" si="16"/>
        <v>127.3</v>
      </c>
      <c r="J116" s="346"/>
      <c r="K116" s="347"/>
      <c r="L116" s="347"/>
      <c r="M116" s="347"/>
      <c r="N116" s="348"/>
      <c r="O116" s="348"/>
      <c r="P116" s="348"/>
      <c r="Q116" s="348"/>
      <c r="R116" s="322"/>
    </row>
    <row r="117" spans="1:18" s="323" customFormat="1" ht="25.5" x14ac:dyDescent="0.2">
      <c r="A117" s="320" t="s">
        <v>0</v>
      </c>
      <c r="B117" s="343" t="s">
        <v>25</v>
      </c>
      <c r="C117" s="82"/>
      <c r="D117" s="82" t="s">
        <v>18</v>
      </c>
      <c r="E117" s="558" t="s">
        <v>449</v>
      </c>
      <c r="F117" s="558"/>
      <c r="G117" s="558"/>
      <c r="H117" s="558"/>
      <c r="I117" s="558"/>
      <c r="J117" s="82" t="s">
        <v>445</v>
      </c>
      <c r="K117" s="324" t="s">
        <v>448</v>
      </c>
      <c r="L117" s="324" t="s">
        <v>447</v>
      </c>
      <c r="M117" s="324" t="s">
        <v>35</v>
      </c>
      <c r="N117" s="308">
        <v>11</v>
      </c>
      <c r="O117" s="308">
        <v>12</v>
      </c>
      <c r="P117" s="308">
        <v>13</v>
      </c>
      <c r="Q117" s="308" t="s">
        <v>542</v>
      </c>
      <c r="R117" s="322"/>
    </row>
    <row r="118" spans="1:18" s="323" customFormat="1" ht="13.5" x14ac:dyDescent="0.2">
      <c r="A118" s="538" t="s">
        <v>0</v>
      </c>
      <c r="B118" s="539" t="s">
        <v>25</v>
      </c>
      <c r="C118" s="536" t="s">
        <v>0</v>
      </c>
      <c r="D118" s="536" t="s">
        <v>78</v>
      </c>
      <c r="E118" s="537" t="s">
        <v>446</v>
      </c>
      <c r="F118" s="537"/>
      <c r="G118" s="537"/>
      <c r="H118" s="537"/>
      <c r="I118" s="537"/>
      <c r="J118" s="326" t="s">
        <v>445</v>
      </c>
      <c r="K118" s="327" t="s">
        <v>444</v>
      </c>
      <c r="L118" s="293" t="s">
        <v>443</v>
      </c>
      <c r="M118" s="327" t="s">
        <v>12</v>
      </c>
      <c r="N118" s="336">
        <v>6</v>
      </c>
      <c r="O118" s="336">
        <v>2</v>
      </c>
      <c r="P118" s="336">
        <v>2</v>
      </c>
      <c r="Q118" s="336" t="s">
        <v>19</v>
      </c>
      <c r="R118" s="322"/>
    </row>
    <row r="119" spans="1:18" s="323" customFormat="1" x14ac:dyDescent="0.2">
      <c r="A119" s="538"/>
      <c r="B119" s="539"/>
      <c r="C119" s="536"/>
      <c r="D119" s="536"/>
      <c r="E119" s="293" t="s">
        <v>14</v>
      </c>
      <c r="F119" s="106">
        <f>21+245</f>
        <v>266</v>
      </c>
      <c r="G119" s="32">
        <v>735</v>
      </c>
      <c r="H119" s="106">
        <f>ROUND(G119*Lapas1!$B$1, 1)</f>
        <v>793.8</v>
      </c>
      <c r="I119" s="106">
        <f>ROUND(H119*Lapas1!$B$1, 1)</f>
        <v>857.3</v>
      </c>
      <c r="J119" s="329"/>
      <c r="K119" s="330"/>
      <c r="L119" s="331"/>
      <c r="M119" s="330"/>
      <c r="N119" s="332"/>
      <c r="O119" s="332"/>
      <c r="P119" s="333"/>
      <c r="Q119" s="333"/>
      <c r="R119" s="322"/>
    </row>
    <row r="120" spans="1:18" s="323" customFormat="1" x14ac:dyDescent="0.2">
      <c r="A120" s="538"/>
      <c r="B120" s="539"/>
      <c r="C120" s="536"/>
      <c r="D120" s="536"/>
      <c r="E120" s="294" t="s">
        <v>22</v>
      </c>
      <c r="F120" s="29">
        <f>SUM(F119:F119)</f>
        <v>266</v>
      </c>
      <c r="G120" s="29">
        <f t="shared" ref="G120:I120" si="17">SUM(G119:G119)</f>
        <v>735</v>
      </c>
      <c r="H120" s="29">
        <f t="shared" si="17"/>
        <v>793.8</v>
      </c>
      <c r="I120" s="29">
        <f t="shared" si="17"/>
        <v>857.3</v>
      </c>
      <c r="J120" s="329"/>
      <c r="K120" s="330"/>
      <c r="L120" s="331"/>
      <c r="M120" s="330"/>
      <c r="N120" s="332"/>
      <c r="O120" s="332"/>
      <c r="P120" s="333"/>
      <c r="Q120" s="333"/>
      <c r="R120" s="334">
        <f>(G120-F120)/F120</f>
        <v>1.763157894736842</v>
      </c>
    </row>
    <row r="121" spans="1:18" s="323" customFormat="1" ht="13.5" x14ac:dyDescent="0.2">
      <c r="A121" s="538" t="s">
        <v>0</v>
      </c>
      <c r="B121" s="539" t="s">
        <v>25</v>
      </c>
      <c r="C121" s="540" t="s">
        <v>10</v>
      </c>
      <c r="D121" s="540" t="s">
        <v>21</v>
      </c>
      <c r="E121" s="537" t="s">
        <v>442</v>
      </c>
      <c r="F121" s="537"/>
      <c r="G121" s="537"/>
      <c r="H121" s="537"/>
      <c r="I121" s="537"/>
      <c r="J121" s="349" t="s">
        <v>19</v>
      </c>
      <c r="K121" s="327" t="s">
        <v>441</v>
      </c>
      <c r="L121" s="293" t="s">
        <v>440</v>
      </c>
      <c r="M121" s="327" t="s">
        <v>35</v>
      </c>
      <c r="N121" s="336">
        <v>396709</v>
      </c>
      <c r="O121" s="336">
        <v>436379</v>
      </c>
      <c r="P121" s="336">
        <v>476050</v>
      </c>
      <c r="Q121" s="336" t="s">
        <v>542</v>
      </c>
      <c r="R121" s="322"/>
    </row>
    <row r="122" spans="1:18" s="323" customFormat="1" x14ac:dyDescent="0.2">
      <c r="A122" s="538"/>
      <c r="B122" s="539"/>
      <c r="C122" s="540"/>
      <c r="D122" s="540"/>
      <c r="E122" s="293" t="s">
        <v>14</v>
      </c>
      <c r="F122" s="106">
        <v>1479.4</v>
      </c>
      <c r="G122" s="32">
        <f>1158.2+500</f>
        <v>1658.2</v>
      </c>
      <c r="H122" s="106">
        <f>ROUND(G122*Lapas1!$B$1, 1)</f>
        <v>1790.9</v>
      </c>
      <c r="I122" s="106">
        <f>ROUND(H122*Lapas1!$B$1, 1)</f>
        <v>1934.2</v>
      </c>
      <c r="J122" s="329"/>
      <c r="K122" s="330"/>
      <c r="L122" s="331"/>
      <c r="M122" s="330"/>
      <c r="N122" s="332"/>
      <c r="O122" s="332"/>
      <c r="P122" s="333"/>
      <c r="Q122" s="333"/>
      <c r="R122" s="322"/>
    </row>
    <row r="123" spans="1:18" s="323" customFormat="1" x14ac:dyDescent="0.2">
      <c r="A123" s="538"/>
      <c r="B123" s="539"/>
      <c r="C123" s="540"/>
      <c r="D123" s="540"/>
      <c r="E123" s="294" t="s">
        <v>22</v>
      </c>
      <c r="F123" s="29">
        <f>SUM(F122:F122)</f>
        <v>1479.4</v>
      </c>
      <c r="G123" s="29">
        <f t="shared" ref="G123:I123" si="18">SUM(G122:G122)</f>
        <v>1658.2</v>
      </c>
      <c r="H123" s="29">
        <f t="shared" si="18"/>
        <v>1790.9</v>
      </c>
      <c r="I123" s="29">
        <f t="shared" si="18"/>
        <v>1934.2</v>
      </c>
      <c r="J123" s="329"/>
      <c r="K123" s="330"/>
      <c r="L123" s="331"/>
      <c r="M123" s="330"/>
      <c r="N123" s="332"/>
      <c r="O123" s="332"/>
      <c r="P123" s="333"/>
      <c r="Q123" s="333"/>
      <c r="R123" s="334">
        <f>(G123-F123)/F123</f>
        <v>0.12085980803028251</v>
      </c>
    </row>
    <row r="124" spans="1:18" s="323" customFormat="1" x14ac:dyDescent="0.2">
      <c r="A124" s="320" t="s">
        <v>0</v>
      </c>
      <c r="B124" s="343" t="s">
        <v>25</v>
      </c>
      <c r="C124" s="344"/>
      <c r="D124" s="344" t="s">
        <v>18</v>
      </c>
      <c r="E124" s="345" t="s">
        <v>2</v>
      </c>
      <c r="F124" s="41">
        <f>F120+F123</f>
        <v>1745.4</v>
      </c>
      <c r="G124" s="41">
        <f t="shared" ref="G124:I124" si="19">G120+G123</f>
        <v>2393.1999999999998</v>
      </c>
      <c r="H124" s="41">
        <f t="shared" si="19"/>
        <v>2584.6999999999998</v>
      </c>
      <c r="I124" s="41">
        <f t="shared" si="19"/>
        <v>2791.5</v>
      </c>
      <c r="J124" s="346"/>
      <c r="K124" s="347"/>
      <c r="L124" s="347"/>
      <c r="M124" s="347"/>
      <c r="N124" s="348"/>
      <c r="O124" s="348"/>
      <c r="P124" s="348"/>
      <c r="Q124" s="348"/>
      <c r="R124" s="322"/>
    </row>
    <row r="125" spans="1:18" s="323" customFormat="1" x14ac:dyDescent="0.2">
      <c r="A125" s="351" t="s">
        <v>0</v>
      </c>
      <c r="B125" s="352"/>
      <c r="C125" s="352"/>
      <c r="D125" s="352"/>
      <c r="E125" s="353" t="s">
        <v>276</v>
      </c>
      <c r="F125" s="37">
        <f>F124+F116+F109+F88</f>
        <v>12231.956</v>
      </c>
      <c r="G125" s="37">
        <f t="shared" ref="G125:I125" si="20">G124+G116+G109+G88</f>
        <v>13669.107</v>
      </c>
      <c r="H125" s="37">
        <f t="shared" si="20"/>
        <v>14762.600000000002</v>
      </c>
      <c r="I125" s="37">
        <f t="shared" si="20"/>
        <v>15943.7</v>
      </c>
      <c r="J125" s="354"/>
      <c r="K125" s="355"/>
      <c r="L125" s="355"/>
      <c r="M125" s="355"/>
      <c r="N125" s="355"/>
      <c r="O125" s="355"/>
      <c r="P125" s="355"/>
      <c r="Q125" s="355"/>
      <c r="R125" s="322"/>
    </row>
    <row r="126" spans="1:18" s="323" customFormat="1" x14ac:dyDescent="0.2">
      <c r="A126" s="320" t="s">
        <v>10</v>
      </c>
      <c r="B126" s="321"/>
      <c r="C126" s="321"/>
      <c r="D126" s="321"/>
      <c r="E126" s="542" t="s">
        <v>937</v>
      </c>
      <c r="F126" s="542"/>
      <c r="G126" s="542"/>
      <c r="H126" s="542"/>
      <c r="I126" s="542"/>
      <c r="J126" s="542"/>
      <c r="K126" s="542"/>
      <c r="L126" s="542"/>
      <c r="M126" s="542"/>
      <c r="N126" s="542"/>
      <c r="O126" s="542"/>
      <c r="P126" s="542"/>
      <c r="Q126" s="542"/>
      <c r="R126" s="322"/>
    </row>
    <row r="127" spans="1:18" s="323" customFormat="1" ht="38.25" x14ac:dyDescent="0.2">
      <c r="A127" s="538" t="s">
        <v>10</v>
      </c>
      <c r="B127" s="543" t="s">
        <v>0</v>
      </c>
      <c r="C127" s="543"/>
      <c r="D127" s="543" t="s">
        <v>18</v>
      </c>
      <c r="E127" s="558" t="s">
        <v>941</v>
      </c>
      <c r="F127" s="558"/>
      <c r="G127" s="558"/>
      <c r="H127" s="558"/>
      <c r="I127" s="558"/>
      <c r="J127" s="543" t="s">
        <v>439</v>
      </c>
      <c r="K127" s="324" t="s">
        <v>438</v>
      </c>
      <c r="L127" s="324" t="s">
        <v>437</v>
      </c>
      <c r="M127" s="324" t="s">
        <v>11</v>
      </c>
      <c r="N127" s="308">
        <v>0.5</v>
      </c>
      <c r="O127" s="308">
        <v>0.5</v>
      </c>
      <c r="P127" s="308">
        <v>0.5</v>
      </c>
      <c r="Q127" s="556" t="s">
        <v>543</v>
      </c>
      <c r="R127" s="322"/>
    </row>
    <row r="128" spans="1:18" s="323" customFormat="1" x14ac:dyDescent="0.2">
      <c r="A128" s="538"/>
      <c r="B128" s="543"/>
      <c r="C128" s="543"/>
      <c r="D128" s="543"/>
      <c r="E128" s="558"/>
      <c r="F128" s="558"/>
      <c r="G128" s="558"/>
      <c r="H128" s="558"/>
      <c r="I128" s="558"/>
      <c r="J128" s="543"/>
      <c r="K128" s="324" t="s">
        <v>436</v>
      </c>
      <c r="L128" s="324" t="s">
        <v>435</v>
      </c>
      <c r="M128" s="324" t="s">
        <v>11</v>
      </c>
      <c r="N128" s="308">
        <v>4</v>
      </c>
      <c r="O128" s="308">
        <v>5</v>
      </c>
      <c r="P128" s="308">
        <v>5</v>
      </c>
      <c r="Q128" s="556"/>
      <c r="R128" s="322"/>
    </row>
    <row r="129" spans="1:23" s="323" customFormat="1" ht="25.5" x14ac:dyDescent="0.2">
      <c r="A129" s="538" t="s">
        <v>10</v>
      </c>
      <c r="B129" s="539" t="s">
        <v>0</v>
      </c>
      <c r="C129" s="536" t="s">
        <v>0</v>
      </c>
      <c r="D129" s="536" t="s">
        <v>78</v>
      </c>
      <c r="E129" s="537" t="s">
        <v>434</v>
      </c>
      <c r="F129" s="537"/>
      <c r="G129" s="537"/>
      <c r="H129" s="537"/>
      <c r="I129" s="537"/>
      <c r="J129" s="536" t="s">
        <v>433</v>
      </c>
      <c r="K129" s="115" t="s">
        <v>952</v>
      </c>
      <c r="L129" s="356" t="s">
        <v>953</v>
      </c>
      <c r="M129" s="356" t="s">
        <v>35</v>
      </c>
      <c r="N129" s="299">
        <v>1</v>
      </c>
      <c r="O129" s="300">
        <v>2</v>
      </c>
      <c r="P129" s="300">
        <v>2</v>
      </c>
      <c r="Q129" s="568" t="s">
        <v>544</v>
      </c>
      <c r="R129" s="322"/>
      <c r="S129" s="559"/>
      <c r="T129" s="559"/>
      <c r="U129" s="559"/>
      <c r="V129" s="559"/>
      <c r="W129" s="559"/>
    </row>
    <row r="130" spans="1:23" s="323" customFormat="1" x14ac:dyDescent="0.2">
      <c r="A130" s="538"/>
      <c r="B130" s="539"/>
      <c r="C130" s="536"/>
      <c r="D130" s="536"/>
      <c r="E130" s="537"/>
      <c r="F130" s="537"/>
      <c r="G130" s="537"/>
      <c r="H130" s="537"/>
      <c r="I130" s="537"/>
      <c r="J130" s="536"/>
      <c r="K130" s="327" t="s">
        <v>432</v>
      </c>
      <c r="L130" s="293" t="s">
        <v>431</v>
      </c>
      <c r="M130" s="327" t="s">
        <v>35</v>
      </c>
      <c r="N130" s="336">
        <v>37</v>
      </c>
      <c r="O130" s="336">
        <v>39</v>
      </c>
      <c r="P130" s="336">
        <v>39</v>
      </c>
      <c r="Q130" s="568"/>
      <c r="R130" s="322"/>
      <c r="S130" s="357"/>
      <c r="T130" s="357"/>
      <c r="U130" s="357"/>
      <c r="V130" s="357"/>
      <c r="W130" s="357"/>
    </row>
    <row r="131" spans="1:23" s="323" customFormat="1" x14ac:dyDescent="0.2">
      <c r="A131" s="538"/>
      <c r="B131" s="539"/>
      <c r="C131" s="536"/>
      <c r="D131" s="536"/>
      <c r="E131" s="537"/>
      <c r="F131" s="537"/>
      <c r="G131" s="537"/>
      <c r="H131" s="537"/>
      <c r="I131" s="537"/>
      <c r="J131" s="536"/>
      <c r="K131" s="327" t="s">
        <v>430</v>
      </c>
      <c r="L131" s="327" t="s">
        <v>1000</v>
      </c>
      <c r="M131" s="327" t="s">
        <v>11</v>
      </c>
      <c r="N131" s="336">
        <v>0</v>
      </c>
      <c r="O131" s="336">
        <v>100</v>
      </c>
      <c r="P131" s="336">
        <v>100</v>
      </c>
      <c r="Q131" s="568"/>
      <c r="R131" s="322"/>
      <c r="S131" s="357"/>
      <c r="T131" s="357"/>
      <c r="U131" s="357"/>
      <c r="V131" s="357"/>
      <c r="W131" s="357"/>
    </row>
    <row r="132" spans="1:23" s="323" customFormat="1" x14ac:dyDescent="0.2">
      <c r="A132" s="538"/>
      <c r="B132" s="539"/>
      <c r="C132" s="536"/>
      <c r="D132" s="536"/>
      <c r="E132" s="293" t="s">
        <v>14</v>
      </c>
      <c r="F132" s="32">
        <v>680</v>
      </c>
      <c r="G132" s="32">
        <v>665</v>
      </c>
      <c r="H132" s="106">
        <f>ROUND(G132*Lapas1!$B$1, 1)</f>
        <v>718.2</v>
      </c>
      <c r="I132" s="106">
        <f>ROUND(H132*Lapas1!$B$1, 1)</f>
        <v>775.7</v>
      </c>
      <c r="J132" s="329"/>
      <c r="K132" s="330"/>
      <c r="L132" s="331"/>
      <c r="M132" s="330"/>
      <c r="N132" s="332"/>
      <c r="O132" s="332"/>
      <c r="P132" s="333"/>
      <c r="Q132" s="333"/>
      <c r="R132" s="322"/>
    </row>
    <row r="133" spans="1:23" s="323" customFormat="1" x14ac:dyDescent="0.2">
      <c r="A133" s="538"/>
      <c r="B133" s="539"/>
      <c r="C133" s="536"/>
      <c r="D133" s="536"/>
      <c r="E133" s="294" t="s">
        <v>22</v>
      </c>
      <c r="F133" s="29">
        <f>SUM(F132:F132)</f>
        <v>680</v>
      </c>
      <c r="G133" s="29">
        <f t="shared" ref="G133:I133" si="21">SUM(G132:G132)</f>
        <v>665</v>
      </c>
      <c r="H133" s="29">
        <f t="shared" si="21"/>
        <v>718.2</v>
      </c>
      <c r="I133" s="29">
        <f t="shared" si="21"/>
        <v>775.7</v>
      </c>
      <c r="J133" s="329"/>
      <c r="K133" s="330"/>
      <c r="L133" s="331"/>
      <c r="M133" s="330"/>
      <c r="N133" s="332"/>
      <c r="O133" s="332"/>
      <c r="P133" s="333"/>
      <c r="Q133" s="333"/>
      <c r="R133" s="334">
        <f>(G133-F133)/F133</f>
        <v>-2.2058823529411766E-2</v>
      </c>
    </row>
    <row r="134" spans="1:23" s="323" customFormat="1" ht="25.5" x14ac:dyDescent="0.2">
      <c r="A134" s="538" t="s">
        <v>10</v>
      </c>
      <c r="B134" s="539" t="s">
        <v>0</v>
      </c>
      <c r="C134" s="540" t="s">
        <v>10</v>
      </c>
      <c r="D134" s="540" t="s">
        <v>21</v>
      </c>
      <c r="E134" s="537" t="s">
        <v>894</v>
      </c>
      <c r="F134" s="537"/>
      <c r="G134" s="537"/>
      <c r="H134" s="537"/>
      <c r="I134" s="537"/>
      <c r="J134" s="326" t="s">
        <v>19</v>
      </c>
      <c r="K134" s="327" t="s">
        <v>429</v>
      </c>
      <c r="L134" s="293" t="s">
        <v>428</v>
      </c>
      <c r="M134" s="327" t="s">
        <v>35</v>
      </c>
      <c r="N134" s="336">
        <v>0</v>
      </c>
      <c r="O134" s="336">
        <v>0</v>
      </c>
      <c r="P134" s="336">
        <v>0</v>
      </c>
      <c r="Q134" s="336" t="s">
        <v>19</v>
      </c>
      <c r="R134" s="322"/>
      <c r="S134" s="559"/>
      <c r="T134" s="559"/>
      <c r="U134" s="559"/>
      <c r="V134" s="559"/>
      <c r="W134" s="559"/>
    </row>
    <row r="135" spans="1:23" s="323" customFormat="1" x14ac:dyDescent="0.2">
      <c r="A135" s="538"/>
      <c r="B135" s="539"/>
      <c r="C135" s="540"/>
      <c r="D135" s="540"/>
      <c r="E135" s="293" t="s">
        <v>14</v>
      </c>
      <c r="F135" s="32">
        <v>20</v>
      </c>
      <c r="G135" s="32"/>
      <c r="H135" s="32"/>
      <c r="I135" s="32"/>
      <c r="J135" s="329"/>
      <c r="K135" s="330"/>
      <c r="L135" s="331"/>
      <c r="M135" s="330"/>
      <c r="N135" s="332"/>
      <c r="O135" s="332"/>
      <c r="P135" s="333"/>
      <c r="Q135" s="333"/>
      <c r="R135" s="322"/>
    </row>
    <row r="136" spans="1:23" s="323" customFormat="1" x14ac:dyDescent="0.2">
      <c r="A136" s="538"/>
      <c r="B136" s="539"/>
      <c r="C136" s="540"/>
      <c r="D136" s="540"/>
      <c r="E136" s="294" t="s">
        <v>22</v>
      </c>
      <c r="F136" s="29">
        <f>SUM(F135:F135)</f>
        <v>20</v>
      </c>
      <c r="G136" s="29">
        <f t="shared" ref="G136:I136" si="22">SUM(G135:G135)</f>
        <v>0</v>
      </c>
      <c r="H136" s="29">
        <f t="shared" si="22"/>
        <v>0</v>
      </c>
      <c r="I136" s="29">
        <f t="shared" si="22"/>
        <v>0</v>
      </c>
      <c r="J136" s="329"/>
      <c r="K136" s="330"/>
      <c r="L136" s="331"/>
      <c r="M136" s="330"/>
      <c r="N136" s="332"/>
      <c r="O136" s="332"/>
      <c r="P136" s="333"/>
      <c r="Q136" s="333"/>
      <c r="R136" s="334">
        <f>(G136-F136)/F136</f>
        <v>-1</v>
      </c>
    </row>
    <row r="137" spans="1:23" s="323" customFormat="1" x14ac:dyDescent="0.2">
      <c r="A137" s="320" t="s">
        <v>10</v>
      </c>
      <c r="B137" s="82" t="s">
        <v>0</v>
      </c>
      <c r="C137" s="82"/>
      <c r="D137" s="82" t="s">
        <v>18</v>
      </c>
      <c r="E137" s="358" t="s">
        <v>275</v>
      </c>
      <c r="F137" s="350">
        <f>F133+F136</f>
        <v>700</v>
      </c>
      <c r="G137" s="350">
        <f t="shared" ref="G137:I137" si="23">G133+G136</f>
        <v>665</v>
      </c>
      <c r="H137" s="350">
        <f t="shared" si="23"/>
        <v>718.2</v>
      </c>
      <c r="I137" s="350">
        <f t="shared" si="23"/>
        <v>775.7</v>
      </c>
      <c r="J137" s="346"/>
      <c r="K137" s="347"/>
      <c r="L137" s="347"/>
      <c r="M137" s="347"/>
      <c r="N137" s="348"/>
      <c r="O137" s="348"/>
      <c r="P137" s="348"/>
      <c r="Q137" s="348"/>
      <c r="R137" s="322"/>
    </row>
    <row r="138" spans="1:23" s="323" customFormat="1" ht="25.5" x14ac:dyDescent="0.2">
      <c r="A138" s="320" t="s">
        <v>10</v>
      </c>
      <c r="B138" s="343" t="s">
        <v>10</v>
      </c>
      <c r="C138" s="82"/>
      <c r="D138" s="82" t="s">
        <v>18</v>
      </c>
      <c r="E138" s="558" t="s">
        <v>427</v>
      </c>
      <c r="F138" s="558"/>
      <c r="G138" s="558"/>
      <c r="H138" s="558"/>
      <c r="I138" s="558"/>
      <c r="J138" s="82" t="s">
        <v>426</v>
      </c>
      <c r="K138" s="324" t="s">
        <v>425</v>
      </c>
      <c r="L138" s="324" t="s">
        <v>424</v>
      </c>
      <c r="M138" s="324" t="s">
        <v>11</v>
      </c>
      <c r="N138" s="308">
        <v>0.1</v>
      </c>
      <c r="O138" s="308">
        <v>0.5</v>
      </c>
      <c r="P138" s="308">
        <v>0.5</v>
      </c>
      <c r="Q138" s="308" t="s">
        <v>545</v>
      </c>
      <c r="R138" s="322"/>
      <c r="S138" s="325"/>
      <c r="T138" s="325"/>
      <c r="U138" s="325"/>
      <c r="V138" s="325"/>
      <c r="W138" s="325"/>
    </row>
    <row r="139" spans="1:23" s="323" customFormat="1" ht="25.5" x14ac:dyDescent="0.2">
      <c r="A139" s="538" t="s">
        <v>10</v>
      </c>
      <c r="B139" s="539" t="s">
        <v>10</v>
      </c>
      <c r="C139" s="536" t="s">
        <v>0</v>
      </c>
      <c r="D139" s="536" t="s">
        <v>21</v>
      </c>
      <c r="E139" s="537" t="s">
        <v>423</v>
      </c>
      <c r="F139" s="537"/>
      <c r="G139" s="537"/>
      <c r="H139" s="537"/>
      <c r="I139" s="537"/>
      <c r="J139" s="536" t="s">
        <v>19</v>
      </c>
      <c r="K139" s="327" t="s">
        <v>422</v>
      </c>
      <c r="L139" s="293" t="s">
        <v>421</v>
      </c>
      <c r="M139" s="327" t="s">
        <v>35</v>
      </c>
      <c r="N139" s="336">
        <v>10</v>
      </c>
      <c r="O139" s="336">
        <v>11</v>
      </c>
      <c r="P139" s="336">
        <v>12</v>
      </c>
      <c r="Q139" s="336" t="s">
        <v>19</v>
      </c>
      <c r="R139" s="322"/>
      <c r="S139" s="559"/>
      <c r="T139" s="559"/>
      <c r="U139" s="559"/>
      <c r="V139" s="559"/>
      <c r="W139" s="559"/>
    </row>
    <row r="140" spans="1:23" s="323" customFormat="1" x14ac:dyDescent="0.2">
      <c r="A140" s="538"/>
      <c r="B140" s="539"/>
      <c r="C140" s="536"/>
      <c r="D140" s="536"/>
      <c r="E140" s="537"/>
      <c r="F140" s="537"/>
      <c r="G140" s="537"/>
      <c r="H140" s="537"/>
      <c r="I140" s="537"/>
      <c r="J140" s="536"/>
      <c r="K140" s="327" t="s">
        <v>420</v>
      </c>
      <c r="L140" s="327" t="s">
        <v>419</v>
      </c>
      <c r="M140" s="327" t="s">
        <v>12</v>
      </c>
      <c r="N140" s="359">
        <v>800</v>
      </c>
      <c r="O140" s="359">
        <v>850</v>
      </c>
      <c r="P140" s="360">
        <v>900</v>
      </c>
      <c r="Q140" s="360" t="s">
        <v>19</v>
      </c>
      <c r="R140" s="322"/>
      <c r="S140" s="357"/>
      <c r="T140" s="357"/>
      <c r="U140" s="357"/>
      <c r="V140" s="357"/>
      <c r="W140" s="357"/>
    </row>
    <row r="141" spans="1:23" s="323" customFormat="1" x14ac:dyDescent="0.2">
      <c r="A141" s="538"/>
      <c r="B141" s="539"/>
      <c r="C141" s="536"/>
      <c r="D141" s="536"/>
      <c r="E141" s="537"/>
      <c r="F141" s="537"/>
      <c r="G141" s="537"/>
      <c r="H141" s="537"/>
      <c r="I141" s="537"/>
      <c r="J141" s="536"/>
      <c r="K141" s="327" t="s">
        <v>418</v>
      </c>
      <c r="L141" s="327" t="s">
        <v>417</v>
      </c>
      <c r="M141" s="327" t="s">
        <v>35</v>
      </c>
      <c r="N141" s="359">
        <v>150</v>
      </c>
      <c r="O141" s="359">
        <v>155</v>
      </c>
      <c r="P141" s="360">
        <v>160</v>
      </c>
      <c r="Q141" s="360" t="s">
        <v>19</v>
      </c>
      <c r="R141" s="322"/>
      <c r="S141" s="357"/>
      <c r="T141" s="357"/>
      <c r="U141" s="357"/>
      <c r="V141" s="357"/>
      <c r="W141" s="357"/>
    </row>
    <row r="142" spans="1:23" s="323" customFormat="1" x14ac:dyDescent="0.2">
      <c r="A142" s="538"/>
      <c r="B142" s="539"/>
      <c r="C142" s="536"/>
      <c r="D142" s="536"/>
      <c r="E142" s="293" t="s">
        <v>14</v>
      </c>
      <c r="F142" s="106">
        <v>148.19999999999999</v>
      </c>
      <c r="G142" s="32">
        <v>156.80000000000001</v>
      </c>
      <c r="H142" s="106">
        <f>ROUND(G142*Lapas1!$B$1, 1)</f>
        <v>169.3</v>
      </c>
      <c r="I142" s="106">
        <f>ROUND(H142*Lapas1!$B$1, 1)</f>
        <v>182.8</v>
      </c>
      <c r="J142" s="329"/>
      <c r="K142" s="330"/>
      <c r="L142" s="331"/>
      <c r="M142" s="330"/>
      <c r="N142" s="332"/>
      <c r="O142" s="332"/>
      <c r="P142" s="333"/>
      <c r="Q142" s="333"/>
      <c r="R142" s="322"/>
    </row>
    <row r="143" spans="1:23" s="323" customFormat="1" x14ac:dyDescent="0.2">
      <c r="A143" s="538"/>
      <c r="B143" s="539"/>
      <c r="C143" s="536"/>
      <c r="D143" s="536"/>
      <c r="E143" s="293" t="s">
        <v>17</v>
      </c>
      <c r="F143" s="106">
        <v>5</v>
      </c>
      <c r="G143" s="32">
        <v>8</v>
      </c>
      <c r="H143" s="106">
        <f>ROUND(G143*Lapas1!$B$3, 1)</f>
        <v>8.6</v>
      </c>
      <c r="I143" s="106">
        <f>ROUND(H143*Lapas1!$B$3, 1)</f>
        <v>9.3000000000000007</v>
      </c>
      <c r="J143" s="329"/>
      <c r="K143" s="330"/>
      <c r="L143" s="331"/>
      <c r="M143" s="330"/>
      <c r="N143" s="332"/>
      <c r="O143" s="332"/>
      <c r="P143" s="333"/>
      <c r="Q143" s="333"/>
      <c r="R143" s="322"/>
    </row>
    <row r="144" spans="1:23" s="323" customFormat="1" x14ac:dyDescent="0.2">
      <c r="A144" s="538"/>
      <c r="B144" s="539"/>
      <c r="C144" s="536"/>
      <c r="D144" s="536"/>
      <c r="E144" s="294" t="s">
        <v>22</v>
      </c>
      <c r="F144" s="29">
        <f>SUM(F142:F143)</f>
        <v>153.19999999999999</v>
      </c>
      <c r="G144" s="29">
        <f t="shared" ref="G144:I144" si="24">SUM(G142:G143)</f>
        <v>164.8</v>
      </c>
      <c r="H144" s="29">
        <f t="shared" si="24"/>
        <v>177.9</v>
      </c>
      <c r="I144" s="29">
        <f t="shared" si="24"/>
        <v>192.10000000000002</v>
      </c>
      <c r="J144" s="329"/>
      <c r="K144" s="330"/>
      <c r="L144" s="331"/>
      <c r="M144" s="330"/>
      <c r="N144" s="332"/>
      <c r="O144" s="332"/>
      <c r="P144" s="333"/>
      <c r="Q144" s="333"/>
      <c r="R144" s="334">
        <f>(G144-F144)/F144</f>
        <v>7.5718015665796501E-2</v>
      </c>
    </row>
    <row r="145" spans="1:23" s="323" customFormat="1" x14ac:dyDescent="0.2">
      <c r="A145" s="538" t="s">
        <v>10</v>
      </c>
      <c r="B145" s="539" t="s">
        <v>10</v>
      </c>
      <c r="C145" s="540" t="s">
        <v>10</v>
      </c>
      <c r="D145" s="540" t="s">
        <v>78</v>
      </c>
      <c r="E145" s="537" t="s">
        <v>416</v>
      </c>
      <c r="F145" s="537"/>
      <c r="G145" s="537"/>
      <c r="H145" s="537"/>
      <c r="I145" s="537"/>
      <c r="J145" s="536" t="s">
        <v>954</v>
      </c>
      <c r="K145" s="327" t="s">
        <v>415</v>
      </c>
      <c r="L145" s="293" t="s">
        <v>414</v>
      </c>
      <c r="M145" s="327" t="s">
        <v>35</v>
      </c>
      <c r="N145" s="336">
        <v>155</v>
      </c>
      <c r="O145" s="336">
        <v>160</v>
      </c>
      <c r="P145" s="336">
        <v>165</v>
      </c>
      <c r="Q145" s="568" t="s">
        <v>545</v>
      </c>
      <c r="R145" s="322"/>
      <c r="S145" s="559"/>
      <c r="T145" s="559"/>
      <c r="U145" s="559"/>
      <c r="V145" s="559"/>
      <c r="W145" s="559"/>
    </row>
    <row r="146" spans="1:23" s="323" customFormat="1" x14ac:dyDescent="0.2">
      <c r="A146" s="538"/>
      <c r="B146" s="539"/>
      <c r="C146" s="540"/>
      <c r="D146" s="540"/>
      <c r="E146" s="537"/>
      <c r="F146" s="537"/>
      <c r="G146" s="537"/>
      <c r="H146" s="537"/>
      <c r="I146" s="537"/>
      <c r="J146" s="536"/>
      <c r="K146" s="327" t="s">
        <v>413</v>
      </c>
      <c r="L146" s="327" t="s">
        <v>412</v>
      </c>
      <c r="M146" s="327" t="s">
        <v>12</v>
      </c>
      <c r="N146" s="361">
        <v>25</v>
      </c>
      <c r="O146" s="361">
        <v>27</v>
      </c>
      <c r="P146" s="361">
        <v>29</v>
      </c>
      <c r="Q146" s="568"/>
      <c r="R146" s="322"/>
      <c r="S146" s="357"/>
      <c r="T146" s="357"/>
      <c r="U146" s="357"/>
      <c r="V146" s="357"/>
      <c r="W146" s="357"/>
    </row>
    <row r="147" spans="1:23" s="323" customFormat="1" x14ac:dyDescent="0.2">
      <c r="A147" s="538"/>
      <c r="B147" s="539"/>
      <c r="C147" s="540"/>
      <c r="D147" s="540"/>
      <c r="E147" s="293" t="s">
        <v>14</v>
      </c>
      <c r="F147" s="106">
        <v>23.6</v>
      </c>
      <c r="G147" s="32">
        <v>39.200000000000003</v>
      </c>
      <c r="H147" s="106">
        <f>ROUND(G147*Lapas1!$B$1, 1)</f>
        <v>42.3</v>
      </c>
      <c r="I147" s="106">
        <f>ROUND(H147*Lapas1!$B$1, 1)</f>
        <v>45.7</v>
      </c>
      <c r="J147" s="329"/>
      <c r="K147" s="330"/>
      <c r="L147" s="331"/>
      <c r="M147" s="330"/>
      <c r="N147" s="332"/>
      <c r="O147" s="332"/>
      <c r="P147" s="333"/>
      <c r="Q147" s="333"/>
      <c r="R147" s="329"/>
    </row>
    <row r="148" spans="1:23" s="323" customFormat="1" x14ac:dyDescent="0.2">
      <c r="A148" s="538"/>
      <c r="B148" s="539"/>
      <c r="C148" s="540"/>
      <c r="D148" s="540"/>
      <c r="E148" s="294" t="s">
        <v>22</v>
      </c>
      <c r="F148" s="29">
        <f>SUM(F147:F147)</f>
        <v>23.6</v>
      </c>
      <c r="G148" s="29">
        <f>SUM(G147:G147)</f>
        <v>39.200000000000003</v>
      </c>
      <c r="H148" s="29">
        <f>SUM(H147:H147)</f>
        <v>42.3</v>
      </c>
      <c r="I148" s="29">
        <f>SUM(I147:I147)</f>
        <v>45.7</v>
      </c>
      <c r="J148" s="329"/>
      <c r="K148" s="330"/>
      <c r="L148" s="331"/>
      <c r="M148" s="330"/>
      <c r="N148" s="332"/>
      <c r="O148" s="332"/>
      <c r="P148" s="333"/>
      <c r="Q148" s="333"/>
      <c r="R148" s="334">
        <f>(G148-F148)/F148</f>
        <v>0.66101694915254239</v>
      </c>
    </row>
    <row r="149" spans="1:23" s="323" customFormat="1" x14ac:dyDescent="0.2">
      <c r="A149" s="320" t="s">
        <v>10</v>
      </c>
      <c r="B149" s="343" t="s">
        <v>10</v>
      </c>
      <c r="C149" s="344"/>
      <c r="D149" s="344" t="s">
        <v>18</v>
      </c>
      <c r="E149" s="345" t="s">
        <v>275</v>
      </c>
      <c r="F149" s="41">
        <f>F144+F148</f>
        <v>176.79999999999998</v>
      </c>
      <c r="G149" s="41">
        <f t="shared" ref="G149:I149" si="25">G144+G148</f>
        <v>204</v>
      </c>
      <c r="H149" s="41">
        <f t="shared" si="25"/>
        <v>220.2</v>
      </c>
      <c r="I149" s="41">
        <f t="shared" si="25"/>
        <v>237.8</v>
      </c>
      <c r="J149" s="346"/>
      <c r="K149" s="348"/>
      <c r="L149" s="348"/>
      <c r="M149" s="348"/>
      <c r="N149" s="348"/>
      <c r="O149" s="348"/>
      <c r="P149" s="348"/>
      <c r="Q149" s="348"/>
      <c r="R149" s="322"/>
    </row>
    <row r="150" spans="1:23" s="323" customFormat="1" x14ac:dyDescent="0.2">
      <c r="A150" s="351" t="s">
        <v>10</v>
      </c>
      <c r="B150" s="352"/>
      <c r="C150" s="352"/>
      <c r="D150" s="352"/>
      <c r="E150" s="353" t="s">
        <v>276</v>
      </c>
      <c r="F150" s="37">
        <f>F137+F149</f>
        <v>876.8</v>
      </c>
      <c r="G150" s="37">
        <f t="shared" ref="G150:I150" si="26">G137+G149</f>
        <v>869</v>
      </c>
      <c r="H150" s="37">
        <f t="shared" si="26"/>
        <v>938.40000000000009</v>
      </c>
      <c r="I150" s="37">
        <f t="shared" si="26"/>
        <v>1013.5</v>
      </c>
      <c r="J150" s="354"/>
      <c r="K150" s="355"/>
      <c r="L150" s="355"/>
      <c r="M150" s="355"/>
      <c r="N150" s="355"/>
      <c r="O150" s="355"/>
      <c r="P150" s="355"/>
      <c r="Q150" s="355"/>
      <c r="R150" s="322"/>
    </row>
    <row r="151" spans="1:23" s="323" customFormat="1" x14ac:dyDescent="0.2">
      <c r="A151" s="320" t="s">
        <v>24</v>
      </c>
      <c r="B151" s="321"/>
      <c r="C151" s="321"/>
      <c r="D151" s="321"/>
      <c r="E151" s="542" t="s">
        <v>411</v>
      </c>
      <c r="F151" s="542"/>
      <c r="G151" s="542"/>
      <c r="H151" s="542"/>
      <c r="I151" s="542"/>
      <c r="J151" s="542"/>
      <c r="K151" s="542"/>
      <c r="L151" s="542"/>
      <c r="M151" s="542"/>
      <c r="N151" s="542"/>
      <c r="O151" s="542"/>
      <c r="P151" s="542"/>
      <c r="Q151" s="542"/>
      <c r="R151" s="322"/>
    </row>
    <row r="152" spans="1:23" s="323" customFormat="1" x14ac:dyDescent="0.2">
      <c r="A152" s="320" t="s">
        <v>24</v>
      </c>
      <c r="B152" s="82" t="s">
        <v>0</v>
      </c>
      <c r="C152" s="82"/>
      <c r="D152" s="82" t="s">
        <v>18</v>
      </c>
      <c r="E152" s="558" t="s">
        <v>986</v>
      </c>
      <c r="F152" s="558"/>
      <c r="G152" s="558"/>
      <c r="H152" s="558"/>
      <c r="I152" s="558"/>
      <c r="J152" s="82" t="s">
        <v>407</v>
      </c>
      <c r="K152" s="324" t="s">
        <v>410</v>
      </c>
      <c r="L152" s="324" t="s">
        <v>409</v>
      </c>
      <c r="M152" s="324" t="s">
        <v>35</v>
      </c>
      <c r="N152" s="308">
        <v>15</v>
      </c>
      <c r="O152" s="308">
        <v>15</v>
      </c>
      <c r="P152" s="308">
        <v>15</v>
      </c>
      <c r="Q152" s="308" t="s">
        <v>546</v>
      </c>
      <c r="R152" s="322"/>
    </row>
    <row r="153" spans="1:23" s="323" customFormat="1" ht="13.5" x14ac:dyDescent="0.2">
      <c r="A153" s="538" t="s">
        <v>24</v>
      </c>
      <c r="B153" s="539" t="s">
        <v>0</v>
      </c>
      <c r="C153" s="536" t="s">
        <v>0</v>
      </c>
      <c r="D153" s="536" t="s">
        <v>78</v>
      </c>
      <c r="E153" s="537" t="s">
        <v>408</v>
      </c>
      <c r="F153" s="537"/>
      <c r="G153" s="537"/>
      <c r="H153" s="537"/>
      <c r="I153" s="537"/>
      <c r="J153" s="326" t="s">
        <v>407</v>
      </c>
      <c r="K153" s="327" t="s">
        <v>406</v>
      </c>
      <c r="L153" s="293" t="s">
        <v>405</v>
      </c>
      <c r="M153" s="327" t="s">
        <v>12</v>
      </c>
      <c r="N153" s="336">
        <v>1</v>
      </c>
      <c r="O153" s="336">
        <v>1</v>
      </c>
      <c r="P153" s="336">
        <v>1</v>
      </c>
      <c r="Q153" s="336" t="s">
        <v>546</v>
      </c>
      <c r="R153" s="322"/>
      <c r="S153" s="559"/>
      <c r="T153" s="559"/>
      <c r="U153" s="559"/>
      <c r="V153" s="559"/>
      <c r="W153" s="559"/>
    </row>
    <row r="154" spans="1:23" s="323" customFormat="1" x14ac:dyDescent="0.2">
      <c r="A154" s="538"/>
      <c r="B154" s="539"/>
      <c r="C154" s="536"/>
      <c r="D154" s="536"/>
      <c r="E154" s="293" t="s">
        <v>14</v>
      </c>
      <c r="F154" s="106">
        <v>130.6</v>
      </c>
      <c r="G154" s="32">
        <v>165.2</v>
      </c>
      <c r="H154" s="106">
        <f>ROUND(G154*Lapas1!$B$1, 1)</f>
        <v>178.4</v>
      </c>
      <c r="I154" s="106">
        <f>ROUND(H154*Lapas1!$B$1, 1)</f>
        <v>192.7</v>
      </c>
      <c r="J154" s="329"/>
      <c r="K154" s="330"/>
      <c r="L154" s="331"/>
      <c r="M154" s="330"/>
      <c r="N154" s="362"/>
      <c r="O154" s="362"/>
      <c r="P154" s="330"/>
      <c r="Q154" s="329"/>
      <c r="R154" s="322"/>
    </row>
    <row r="155" spans="1:23" s="323" customFormat="1" x14ac:dyDescent="0.2">
      <c r="A155" s="538"/>
      <c r="B155" s="539"/>
      <c r="C155" s="536"/>
      <c r="D155" s="536"/>
      <c r="E155" s="293" t="s">
        <v>332</v>
      </c>
      <c r="F155" s="106">
        <v>5.2</v>
      </c>
      <c r="G155" s="32">
        <f>27</f>
        <v>27</v>
      </c>
      <c r="H155" s="106">
        <f>ROUND(G155*Lapas1!$B$2, 1)</f>
        <v>29.2</v>
      </c>
      <c r="I155" s="106">
        <f>ROUND(H155*Lapas1!$B$2, 1)</f>
        <v>31.5</v>
      </c>
      <c r="J155" s="329"/>
      <c r="K155" s="330"/>
      <c r="L155" s="331"/>
      <c r="M155" s="330"/>
      <c r="N155" s="362"/>
      <c r="O155" s="362"/>
      <c r="P155" s="330"/>
      <c r="Q155" s="329"/>
      <c r="R155" s="322"/>
    </row>
    <row r="156" spans="1:23" s="323" customFormat="1" x14ac:dyDescent="0.2">
      <c r="A156" s="538"/>
      <c r="B156" s="539"/>
      <c r="C156" s="536"/>
      <c r="D156" s="536"/>
      <c r="E156" s="294" t="s">
        <v>22</v>
      </c>
      <c r="F156" s="29">
        <f>SUM(F154:F155)</f>
        <v>135.79999999999998</v>
      </c>
      <c r="G156" s="29">
        <f t="shared" ref="G156:I156" si="27">SUM(G154:G155)</f>
        <v>192.2</v>
      </c>
      <c r="H156" s="29">
        <f t="shared" si="27"/>
        <v>207.6</v>
      </c>
      <c r="I156" s="29">
        <f t="shared" si="27"/>
        <v>224.2</v>
      </c>
      <c r="J156" s="329"/>
      <c r="K156" s="330"/>
      <c r="L156" s="331"/>
      <c r="M156" s="330"/>
      <c r="N156" s="362"/>
      <c r="O156" s="362"/>
      <c r="P156" s="330"/>
      <c r="Q156" s="329"/>
      <c r="R156" s="334">
        <f>(G156-F156)/F156</f>
        <v>0.41531664212076591</v>
      </c>
    </row>
    <row r="157" spans="1:23" s="323" customFormat="1" ht="25.5" x14ac:dyDescent="0.2">
      <c r="A157" s="538" t="s">
        <v>24</v>
      </c>
      <c r="B157" s="539" t="s">
        <v>0</v>
      </c>
      <c r="C157" s="540" t="s">
        <v>10</v>
      </c>
      <c r="D157" s="536" t="s">
        <v>78</v>
      </c>
      <c r="E157" s="537" t="s">
        <v>985</v>
      </c>
      <c r="F157" s="537"/>
      <c r="G157" s="537"/>
      <c r="H157" s="537"/>
      <c r="I157" s="537"/>
      <c r="J157" s="326" t="s">
        <v>19</v>
      </c>
      <c r="K157" s="327" t="s">
        <v>987</v>
      </c>
      <c r="L157" s="293" t="s">
        <v>988</v>
      </c>
      <c r="M157" s="327" t="s">
        <v>35</v>
      </c>
      <c r="N157" s="248">
        <v>10</v>
      </c>
      <c r="O157" s="248">
        <v>10</v>
      </c>
      <c r="P157" s="248">
        <v>10</v>
      </c>
      <c r="Q157" s="336" t="s">
        <v>19</v>
      </c>
      <c r="R157" s="322"/>
      <c r="S157" s="559"/>
      <c r="T157" s="559"/>
      <c r="U157" s="559"/>
      <c r="V157" s="559"/>
      <c r="W157" s="559"/>
    </row>
    <row r="158" spans="1:23" s="323" customFormat="1" x14ac:dyDescent="0.2">
      <c r="A158" s="538"/>
      <c r="B158" s="539"/>
      <c r="C158" s="540"/>
      <c r="D158" s="536"/>
      <c r="E158" s="293" t="s">
        <v>14</v>
      </c>
      <c r="F158" s="106">
        <v>0</v>
      </c>
      <c r="G158" s="32">
        <v>87</v>
      </c>
      <c r="H158" s="106">
        <f>ROUND(G158*Lapas1!$B$1, 1)</f>
        <v>94</v>
      </c>
      <c r="I158" s="106">
        <f>ROUND(H158*Lapas1!$B$1, 1)</f>
        <v>101.5</v>
      </c>
      <c r="J158" s="329"/>
      <c r="K158" s="330"/>
      <c r="L158" s="331"/>
      <c r="M158" s="330"/>
      <c r="N158" s="362"/>
      <c r="O158" s="362"/>
      <c r="P158" s="330"/>
      <c r="Q158" s="329"/>
      <c r="R158" s="322"/>
    </row>
    <row r="159" spans="1:23" s="323" customFormat="1" x14ac:dyDescent="0.2">
      <c r="A159" s="538"/>
      <c r="B159" s="539"/>
      <c r="C159" s="540"/>
      <c r="D159" s="536"/>
      <c r="E159" s="294" t="s">
        <v>22</v>
      </c>
      <c r="F159" s="29">
        <f>SUM(F158:F158)</f>
        <v>0</v>
      </c>
      <c r="G159" s="29">
        <f>SUM(G158:G158)</f>
        <v>87</v>
      </c>
      <c r="H159" s="29">
        <f>SUM(H158:H158)</f>
        <v>94</v>
      </c>
      <c r="I159" s="29">
        <f>SUM(I158:I158)</f>
        <v>101.5</v>
      </c>
      <c r="J159" s="329"/>
      <c r="K159" s="330"/>
      <c r="L159" s="331"/>
      <c r="M159" s="330"/>
      <c r="N159" s="362"/>
      <c r="O159" s="362"/>
      <c r="P159" s="330"/>
      <c r="Q159" s="329"/>
      <c r="R159" s="334" t="e">
        <f>(G159-F159)/F159</f>
        <v>#DIV/0!</v>
      </c>
    </row>
    <row r="160" spans="1:23" s="323" customFormat="1" x14ac:dyDescent="0.2">
      <c r="A160" s="320" t="s">
        <v>24</v>
      </c>
      <c r="B160" s="82" t="s">
        <v>0</v>
      </c>
      <c r="C160" s="344"/>
      <c r="D160" s="344" t="s">
        <v>18</v>
      </c>
      <c r="E160" s="345" t="s">
        <v>275</v>
      </c>
      <c r="F160" s="41">
        <f>F156+F159</f>
        <v>135.79999999999998</v>
      </c>
      <c r="G160" s="41">
        <f t="shared" ref="G160:I160" si="28">G156+G159</f>
        <v>279.2</v>
      </c>
      <c r="H160" s="41">
        <f t="shared" si="28"/>
        <v>301.60000000000002</v>
      </c>
      <c r="I160" s="41">
        <f t="shared" si="28"/>
        <v>325.7</v>
      </c>
      <c r="J160" s="346"/>
      <c r="K160" s="347"/>
      <c r="L160" s="347"/>
      <c r="M160" s="347"/>
      <c r="N160" s="347"/>
      <c r="O160" s="347"/>
      <c r="P160" s="347"/>
      <c r="Q160" s="348"/>
      <c r="R160" s="322"/>
    </row>
    <row r="161" spans="1:23" s="323" customFormat="1" x14ac:dyDescent="0.2">
      <c r="A161" s="351" t="s">
        <v>24</v>
      </c>
      <c r="B161" s="352"/>
      <c r="C161" s="352"/>
      <c r="D161" s="352"/>
      <c r="E161" s="353" t="s">
        <v>276</v>
      </c>
      <c r="F161" s="37">
        <f t="shared" ref="F161:I161" si="29">F160</f>
        <v>135.79999999999998</v>
      </c>
      <c r="G161" s="37">
        <f t="shared" si="29"/>
        <v>279.2</v>
      </c>
      <c r="H161" s="37">
        <f t="shared" si="29"/>
        <v>301.60000000000002</v>
      </c>
      <c r="I161" s="37">
        <f t="shared" si="29"/>
        <v>325.7</v>
      </c>
      <c r="J161" s="354"/>
      <c r="K161" s="355"/>
      <c r="L161" s="355"/>
      <c r="M161" s="355"/>
      <c r="N161" s="355"/>
      <c r="O161" s="355"/>
      <c r="P161" s="355"/>
      <c r="Q161" s="355"/>
      <c r="R161" s="322"/>
    </row>
    <row r="162" spans="1:23" s="323" customFormat="1" x14ac:dyDescent="0.2">
      <c r="A162" s="320" t="s">
        <v>25</v>
      </c>
      <c r="B162" s="321"/>
      <c r="C162" s="321"/>
      <c r="D162" s="321"/>
      <c r="E162" s="542" t="s">
        <v>983</v>
      </c>
      <c r="F162" s="542"/>
      <c r="G162" s="542"/>
      <c r="H162" s="542"/>
      <c r="I162" s="542"/>
      <c r="J162" s="542"/>
      <c r="K162" s="542"/>
      <c r="L162" s="542"/>
      <c r="M162" s="542"/>
      <c r="N162" s="542"/>
      <c r="O162" s="542"/>
      <c r="P162" s="542"/>
      <c r="Q162" s="542"/>
      <c r="R162" s="322"/>
    </row>
    <row r="163" spans="1:23" s="323" customFormat="1" x14ac:dyDescent="0.2">
      <c r="A163" s="320" t="s">
        <v>25</v>
      </c>
      <c r="B163" s="82" t="s">
        <v>0</v>
      </c>
      <c r="C163" s="82"/>
      <c r="D163" s="82" t="s">
        <v>31</v>
      </c>
      <c r="E163" s="558" t="s">
        <v>984</v>
      </c>
      <c r="F163" s="558"/>
      <c r="G163" s="558"/>
      <c r="H163" s="558"/>
      <c r="I163" s="558"/>
      <c r="J163" s="82" t="s">
        <v>404</v>
      </c>
      <c r="K163" s="324" t="s">
        <v>403</v>
      </c>
      <c r="L163" s="324" t="s">
        <v>402</v>
      </c>
      <c r="M163" s="324" t="s">
        <v>11</v>
      </c>
      <c r="N163" s="308">
        <v>100</v>
      </c>
      <c r="O163" s="308">
        <v>100</v>
      </c>
      <c r="P163" s="308">
        <v>100</v>
      </c>
      <c r="Q163" s="308" t="s">
        <v>540</v>
      </c>
      <c r="R163" s="363"/>
      <c r="S163" s="357"/>
      <c r="T163" s="357"/>
      <c r="U163" s="357"/>
      <c r="V163" s="357"/>
      <c r="W163" s="357"/>
    </row>
    <row r="164" spans="1:23" s="323" customFormat="1" ht="13.5" x14ac:dyDescent="0.2">
      <c r="A164" s="538" t="s">
        <v>25</v>
      </c>
      <c r="B164" s="539" t="s">
        <v>0</v>
      </c>
      <c r="C164" s="536" t="s">
        <v>0</v>
      </c>
      <c r="D164" s="536" t="s">
        <v>21</v>
      </c>
      <c r="E164" s="537" t="s">
        <v>401</v>
      </c>
      <c r="F164" s="537"/>
      <c r="G164" s="537"/>
      <c r="H164" s="537"/>
      <c r="I164" s="537"/>
      <c r="J164" s="326" t="s">
        <v>19</v>
      </c>
      <c r="K164" s="327" t="s">
        <v>400</v>
      </c>
      <c r="L164" s="293" t="s">
        <v>1018</v>
      </c>
      <c r="M164" s="327" t="s">
        <v>12</v>
      </c>
      <c r="N164" s="336">
        <v>2</v>
      </c>
      <c r="O164" s="336">
        <v>2</v>
      </c>
      <c r="P164" s="336">
        <v>2</v>
      </c>
      <c r="Q164" s="336" t="s">
        <v>19</v>
      </c>
      <c r="R164" s="322"/>
      <c r="S164" s="357"/>
      <c r="T164" s="357"/>
      <c r="U164" s="357"/>
      <c r="V164" s="357"/>
      <c r="W164" s="357"/>
    </row>
    <row r="165" spans="1:23" s="323" customFormat="1" x14ac:dyDescent="0.2">
      <c r="A165" s="538"/>
      <c r="B165" s="539"/>
      <c r="C165" s="536"/>
      <c r="D165" s="536"/>
      <c r="E165" s="293" t="s">
        <v>14</v>
      </c>
      <c r="F165" s="32">
        <v>38</v>
      </c>
      <c r="G165" s="32">
        <v>18</v>
      </c>
      <c r="H165" s="106">
        <f>ROUND(G165*Lapas1!$B$1, 1)</f>
        <v>19.399999999999999</v>
      </c>
      <c r="I165" s="106">
        <f>ROUND(H165*Lapas1!$B$1, 1)</f>
        <v>21</v>
      </c>
      <c r="J165" s="329"/>
      <c r="K165" s="330"/>
      <c r="L165" s="331"/>
      <c r="M165" s="330"/>
      <c r="N165" s="332"/>
      <c r="O165" s="332"/>
      <c r="P165" s="329"/>
      <c r="Q165" s="329"/>
      <c r="R165" s="322"/>
    </row>
    <row r="166" spans="1:23" s="323" customFormat="1" x14ac:dyDescent="0.2">
      <c r="A166" s="538"/>
      <c r="B166" s="539"/>
      <c r="C166" s="536"/>
      <c r="D166" s="536"/>
      <c r="E166" s="294" t="s">
        <v>22</v>
      </c>
      <c r="F166" s="29">
        <f>SUM(F165:F165)</f>
        <v>38</v>
      </c>
      <c r="G166" s="29">
        <f t="shared" ref="G166:I166" si="30">SUM(G165:G165)</f>
        <v>18</v>
      </c>
      <c r="H166" s="29">
        <f t="shared" si="30"/>
        <v>19.399999999999999</v>
      </c>
      <c r="I166" s="29">
        <f t="shared" si="30"/>
        <v>21</v>
      </c>
      <c r="J166" s="329"/>
      <c r="K166" s="329"/>
      <c r="L166" s="364"/>
      <c r="M166" s="329"/>
      <c r="N166" s="332"/>
      <c r="O166" s="332"/>
      <c r="P166" s="329"/>
      <c r="Q166" s="329"/>
      <c r="R166" s="334">
        <f>(G166-F166)/F166</f>
        <v>-0.52631578947368418</v>
      </c>
    </row>
    <row r="167" spans="1:23" s="323" customFormat="1" x14ac:dyDescent="0.2">
      <c r="A167" s="320" t="s">
        <v>25</v>
      </c>
      <c r="B167" s="82" t="s">
        <v>0</v>
      </c>
      <c r="C167" s="344"/>
      <c r="D167" s="344" t="s">
        <v>31</v>
      </c>
      <c r="E167" s="345" t="s">
        <v>275</v>
      </c>
      <c r="F167" s="41">
        <f>F166</f>
        <v>38</v>
      </c>
      <c r="G167" s="41">
        <f t="shared" ref="F167:I168" si="31">G166</f>
        <v>18</v>
      </c>
      <c r="H167" s="41">
        <f t="shared" si="31"/>
        <v>19.399999999999999</v>
      </c>
      <c r="I167" s="41">
        <f t="shared" si="31"/>
        <v>21</v>
      </c>
      <c r="J167" s="346"/>
      <c r="K167" s="348"/>
      <c r="L167" s="348"/>
      <c r="M167" s="348"/>
      <c r="N167" s="348"/>
      <c r="O167" s="348"/>
      <c r="P167" s="348"/>
      <c r="Q167" s="348"/>
      <c r="R167" s="322"/>
    </row>
    <row r="168" spans="1:23" s="323" customFormat="1" x14ac:dyDescent="0.2">
      <c r="A168" s="351" t="s">
        <v>25</v>
      </c>
      <c r="B168" s="352"/>
      <c r="C168" s="352"/>
      <c r="D168" s="352"/>
      <c r="E168" s="353" t="s">
        <v>276</v>
      </c>
      <c r="F168" s="37">
        <f t="shared" si="31"/>
        <v>38</v>
      </c>
      <c r="G168" s="37">
        <f t="shared" si="31"/>
        <v>18</v>
      </c>
      <c r="H168" s="37">
        <f t="shared" si="31"/>
        <v>19.399999999999999</v>
      </c>
      <c r="I168" s="37">
        <f t="shared" si="31"/>
        <v>21</v>
      </c>
      <c r="J168" s="354"/>
      <c r="K168" s="355"/>
      <c r="L168" s="355"/>
      <c r="M168" s="355"/>
      <c r="N168" s="355"/>
      <c r="O168" s="355"/>
      <c r="P168" s="355"/>
      <c r="Q168" s="355"/>
      <c r="R168" s="322"/>
    </row>
    <row r="169" spans="1:23" s="323" customFormat="1" x14ac:dyDescent="0.2">
      <c r="A169" s="320" t="s">
        <v>26</v>
      </c>
      <c r="B169" s="321"/>
      <c r="C169" s="321"/>
      <c r="D169" s="321"/>
      <c r="E169" s="542" t="s">
        <v>399</v>
      </c>
      <c r="F169" s="542"/>
      <c r="G169" s="542"/>
      <c r="H169" s="542"/>
      <c r="I169" s="542"/>
      <c r="J169" s="542"/>
      <c r="K169" s="542"/>
      <c r="L169" s="542"/>
      <c r="M169" s="542"/>
      <c r="N169" s="542"/>
      <c r="O169" s="542"/>
      <c r="P169" s="542"/>
      <c r="Q169" s="542"/>
      <c r="R169" s="322"/>
    </row>
    <row r="170" spans="1:23" s="323" customFormat="1" ht="25.5" x14ac:dyDescent="0.2">
      <c r="A170" s="320" t="s">
        <v>26</v>
      </c>
      <c r="B170" s="82" t="s">
        <v>0</v>
      </c>
      <c r="C170" s="82"/>
      <c r="D170" s="82" t="s">
        <v>31</v>
      </c>
      <c r="E170" s="558" t="s">
        <v>398</v>
      </c>
      <c r="F170" s="558"/>
      <c r="G170" s="558"/>
      <c r="H170" s="558"/>
      <c r="I170" s="558"/>
      <c r="J170" s="82" t="s">
        <v>19</v>
      </c>
      <c r="K170" s="324" t="s">
        <v>397</v>
      </c>
      <c r="L170" s="324" t="s">
        <v>396</v>
      </c>
      <c r="M170" s="324" t="s">
        <v>12</v>
      </c>
      <c r="N170" s="308">
        <v>1</v>
      </c>
      <c r="O170" s="308">
        <v>1</v>
      </c>
      <c r="P170" s="308">
        <v>1</v>
      </c>
      <c r="Q170" s="308" t="s">
        <v>19</v>
      </c>
      <c r="R170" s="322"/>
      <c r="S170" s="357"/>
      <c r="T170" s="357"/>
      <c r="U170" s="357"/>
      <c r="V170" s="357"/>
      <c r="W170" s="357"/>
    </row>
    <row r="171" spans="1:23" s="323" customFormat="1" ht="25.5" x14ac:dyDescent="0.2">
      <c r="A171" s="538" t="s">
        <v>26</v>
      </c>
      <c r="B171" s="539" t="s">
        <v>0</v>
      </c>
      <c r="C171" s="540" t="s">
        <v>0</v>
      </c>
      <c r="D171" s="540" t="s">
        <v>21</v>
      </c>
      <c r="E171" s="537" t="s">
        <v>395</v>
      </c>
      <c r="F171" s="537"/>
      <c r="G171" s="537"/>
      <c r="H171" s="537"/>
      <c r="I171" s="537"/>
      <c r="J171" s="536" t="s">
        <v>19</v>
      </c>
      <c r="K171" s="327" t="s">
        <v>394</v>
      </c>
      <c r="L171" s="293" t="s">
        <v>393</v>
      </c>
      <c r="M171" s="327" t="s">
        <v>12</v>
      </c>
      <c r="N171" s="336">
        <v>20</v>
      </c>
      <c r="O171" s="336">
        <v>20</v>
      </c>
      <c r="P171" s="336">
        <v>20</v>
      </c>
      <c r="Q171" s="336" t="s">
        <v>19</v>
      </c>
      <c r="R171" s="560"/>
      <c r="S171" s="357"/>
      <c r="T171" s="357"/>
      <c r="U171" s="357"/>
      <c r="V171" s="357"/>
      <c r="W171" s="357"/>
    </row>
    <row r="172" spans="1:23" s="323" customFormat="1" x14ac:dyDescent="0.2">
      <c r="A172" s="538"/>
      <c r="B172" s="539"/>
      <c r="C172" s="540"/>
      <c r="D172" s="540"/>
      <c r="E172" s="537"/>
      <c r="F172" s="537"/>
      <c r="G172" s="537"/>
      <c r="H172" s="537"/>
      <c r="I172" s="537"/>
      <c r="J172" s="536"/>
      <c r="K172" s="327" t="s">
        <v>392</v>
      </c>
      <c r="L172" s="293" t="s">
        <v>391</v>
      </c>
      <c r="M172" s="327" t="s">
        <v>12</v>
      </c>
      <c r="N172" s="336">
        <v>25</v>
      </c>
      <c r="O172" s="336">
        <v>25</v>
      </c>
      <c r="P172" s="336">
        <v>25</v>
      </c>
      <c r="Q172" s="336" t="s">
        <v>19</v>
      </c>
      <c r="R172" s="560"/>
      <c r="S172" s="357"/>
      <c r="T172" s="357"/>
      <c r="U172" s="357"/>
      <c r="V172" s="357"/>
      <c r="W172" s="357"/>
    </row>
    <row r="173" spans="1:23" s="323" customFormat="1" ht="25.5" x14ac:dyDescent="0.2">
      <c r="A173" s="538"/>
      <c r="B173" s="539"/>
      <c r="C173" s="540"/>
      <c r="D173" s="540"/>
      <c r="E173" s="537"/>
      <c r="F173" s="537"/>
      <c r="G173" s="537"/>
      <c r="H173" s="537"/>
      <c r="I173" s="537"/>
      <c r="J173" s="536"/>
      <c r="K173" s="327" t="s">
        <v>390</v>
      </c>
      <c r="L173" s="293" t="s">
        <v>389</v>
      </c>
      <c r="M173" s="327" t="s">
        <v>12</v>
      </c>
      <c r="N173" s="336">
        <v>25</v>
      </c>
      <c r="O173" s="336">
        <v>25</v>
      </c>
      <c r="P173" s="336">
        <v>25</v>
      </c>
      <c r="Q173" s="336" t="s">
        <v>19</v>
      </c>
      <c r="R173" s="560"/>
      <c r="S173" s="357"/>
      <c r="T173" s="357"/>
      <c r="U173" s="357"/>
      <c r="V173" s="357"/>
      <c r="W173" s="357"/>
    </row>
    <row r="174" spans="1:23" s="323" customFormat="1" ht="25.5" x14ac:dyDescent="0.2">
      <c r="A174" s="538"/>
      <c r="B174" s="539"/>
      <c r="C174" s="540"/>
      <c r="D174" s="540"/>
      <c r="E174" s="537"/>
      <c r="F174" s="537"/>
      <c r="G174" s="537"/>
      <c r="H174" s="537"/>
      <c r="I174" s="537"/>
      <c r="J174" s="536"/>
      <c r="K174" s="327" t="s">
        <v>388</v>
      </c>
      <c r="L174" s="327" t="s">
        <v>387</v>
      </c>
      <c r="M174" s="327" t="s">
        <v>12</v>
      </c>
      <c r="N174" s="365">
        <v>30</v>
      </c>
      <c r="O174" s="365">
        <v>30</v>
      </c>
      <c r="P174" s="336">
        <v>30</v>
      </c>
      <c r="Q174" s="336" t="s">
        <v>19</v>
      </c>
      <c r="R174" s="560"/>
      <c r="S174" s="357"/>
      <c r="T174" s="357"/>
      <c r="U174" s="357"/>
      <c r="V174" s="357"/>
      <c r="W174" s="357"/>
    </row>
    <row r="175" spans="1:23" s="323" customFormat="1" x14ac:dyDescent="0.2">
      <c r="A175" s="538"/>
      <c r="B175" s="539"/>
      <c r="C175" s="540"/>
      <c r="D175" s="540"/>
      <c r="E175" s="537"/>
      <c r="F175" s="537"/>
      <c r="G175" s="537"/>
      <c r="H175" s="537"/>
      <c r="I175" s="537"/>
      <c r="J175" s="536"/>
      <c r="K175" s="283" t="s">
        <v>877</v>
      </c>
      <c r="L175" s="366" t="s">
        <v>878</v>
      </c>
      <c r="M175" s="367" t="s">
        <v>12</v>
      </c>
      <c r="N175" s="368">
        <v>3</v>
      </c>
      <c r="O175" s="368">
        <v>3</v>
      </c>
      <c r="P175" s="305">
        <v>3</v>
      </c>
      <c r="Q175" s="369" t="s">
        <v>19</v>
      </c>
      <c r="R175" s="560"/>
      <c r="S175" s="357"/>
      <c r="T175" s="357"/>
      <c r="U175" s="357"/>
      <c r="V175" s="357"/>
      <c r="W175" s="357"/>
    </row>
    <row r="176" spans="1:23" s="323" customFormat="1" x14ac:dyDescent="0.2">
      <c r="A176" s="538"/>
      <c r="B176" s="539"/>
      <c r="C176" s="540"/>
      <c r="D176" s="540"/>
      <c r="E176" s="293" t="s">
        <v>14</v>
      </c>
      <c r="F176" s="32">
        <v>7</v>
      </c>
      <c r="G176" s="32">
        <v>7</v>
      </c>
      <c r="H176" s="106">
        <f>ROUND(G176*Lapas1!$B$1, 1)</f>
        <v>7.6</v>
      </c>
      <c r="I176" s="106">
        <f>ROUND(H176*Lapas1!$B$1, 1)</f>
        <v>8.1999999999999993</v>
      </c>
      <c r="J176" s="329"/>
      <c r="K176" s="329"/>
      <c r="L176" s="364"/>
      <c r="M176" s="329"/>
      <c r="N176" s="332"/>
      <c r="O176" s="332"/>
      <c r="P176" s="329"/>
      <c r="Q176" s="329"/>
      <c r="R176" s="322"/>
    </row>
    <row r="177" spans="1:23" s="323" customFormat="1" x14ac:dyDescent="0.2">
      <c r="A177" s="538"/>
      <c r="B177" s="539"/>
      <c r="C177" s="540"/>
      <c r="D177" s="540"/>
      <c r="E177" s="294" t="s">
        <v>22</v>
      </c>
      <c r="F177" s="29">
        <f>SUM(F176:F176)</f>
        <v>7</v>
      </c>
      <c r="G177" s="29">
        <f>SUM(G176:G176)</f>
        <v>7</v>
      </c>
      <c r="H177" s="29">
        <f>SUM(H176:H176)</f>
        <v>7.6</v>
      </c>
      <c r="I177" s="29">
        <f>SUM(I176:I176)</f>
        <v>8.1999999999999993</v>
      </c>
      <c r="J177" s="329"/>
      <c r="K177" s="329"/>
      <c r="L177" s="364"/>
      <c r="M177" s="329"/>
      <c r="N177" s="332"/>
      <c r="O177" s="332"/>
      <c r="P177" s="329"/>
      <c r="Q177" s="329"/>
      <c r="R177" s="334">
        <f>(G177-F177)/F177</f>
        <v>0</v>
      </c>
    </row>
    <row r="178" spans="1:23" s="323" customFormat="1" x14ac:dyDescent="0.2">
      <c r="A178" s="320" t="s">
        <v>26</v>
      </c>
      <c r="B178" s="82" t="s">
        <v>0</v>
      </c>
      <c r="C178" s="344"/>
      <c r="D178" s="344" t="s">
        <v>31</v>
      </c>
      <c r="E178" s="345" t="s">
        <v>275</v>
      </c>
      <c r="F178" s="41">
        <f t="shared" ref="F178:I179" si="32">F177</f>
        <v>7</v>
      </c>
      <c r="G178" s="41">
        <f t="shared" si="32"/>
        <v>7</v>
      </c>
      <c r="H178" s="41">
        <f t="shared" si="32"/>
        <v>7.6</v>
      </c>
      <c r="I178" s="41">
        <f t="shared" si="32"/>
        <v>8.1999999999999993</v>
      </c>
      <c r="J178" s="346"/>
      <c r="K178" s="348"/>
      <c r="L178" s="348"/>
      <c r="M178" s="348"/>
      <c r="N178" s="348"/>
      <c r="O178" s="348"/>
      <c r="P178" s="348"/>
      <c r="Q178" s="348"/>
      <c r="R178" s="322"/>
    </row>
    <row r="179" spans="1:23" s="323" customFormat="1" x14ac:dyDescent="0.2">
      <c r="A179" s="351" t="s">
        <v>26</v>
      </c>
      <c r="B179" s="352"/>
      <c r="C179" s="352"/>
      <c r="D179" s="352"/>
      <c r="E179" s="353" t="s">
        <v>276</v>
      </c>
      <c r="F179" s="37">
        <f t="shared" si="32"/>
        <v>7</v>
      </c>
      <c r="G179" s="37">
        <f t="shared" si="32"/>
        <v>7</v>
      </c>
      <c r="H179" s="37">
        <f t="shared" si="32"/>
        <v>7.6</v>
      </c>
      <c r="I179" s="37">
        <f t="shared" si="32"/>
        <v>8.1999999999999993</v>
      </c>
      <c r="J179" s="354"/>
      <c r="K179" s="355"/>
      <c r="L179" s="355"/>
      <c r="M179" s="355"/>
      <c r="N179" s="355"/>
      <c r="O179" s="355"/>
      <c r="P179" s="355"/>
      <c r="Q179" s="355"/>
      <c r="R179" s="322"/>
    </row>
    <row r="180" spans="1:23" s="323" customFormat="1" x14ac:dyDescent="0.2">
      <c r="A180" s="320" t="s">
        <v>27</v>
      </c>
      <c r="B180" s="321"/>
      <c r="C180" s="321"/>
      <c r="D180" s="321"/>
      <c r="E180" s="542" t="s">
        <v>942</v>
      </c>
      <c r="F180" s="542"/>
      <c r="G180" s="542"/>
      <c r="H180" s="542"/>
      <c r="I180" s="542"/>
      <c r="J180" s="542"/>
      <c r="K180" s="542"/>
      <c r="L180" s="542"/>
      <c r="M180" s="542"/>
      <c r="N180" s="542"/>
      <c r="O180" s="542"/>
      <c r="P180" s="542"/>
      <c r="Q180" s="542"/>
      <c r="R180" s="322"/>
    </row>
    <row r="181" spans="1:23" s="323" customFormat="1" x14ac:dyDescent="0.2">
      <c r="A181" s="320" t="s">
        <v>27</v>
      </c>
      <c r="B181" s="82" t="s">
        <v>0</v>
      </c>
      <c r="C181" s="82"/>
      <c r="D181" s="82" t="s">
        <v>18</v>
      </c>
      <c r="E181" s="558" t="s">
        <v>386</v>
      </c>
      <c r="F181" s="558"/>
      <c r="G181" s="558"/>
      <c r="H181" s="558"/>
      <c r="I181" s="558"/>
      <c r="J181" s="82" t="s">
        <v>382</v>
      </c>
      <c r="K181" s="324" t="s">
        <v>385</v>
      </c>
      <c r="L181" s="324" t="s">
        <v>384</v>
      </c>
      <c r="M181" s="324" t="s">
        <v>35</v>
      </c>
      <c r="N181" s="308">
        <v>5</v>
      </c>
      <c r="O181" s="308">
        <v>5</v>
      </c>
      <c r="P181" s="308">
        <v>5</v>
      </c>
      <c r="Q181" s="308" t="s">
        <v>547</v>
      </c>
      <c r="R181" s="322"/>
    </row>
    <row r="182" spans="1:23" s="323" customFormat="1" x14ac:dyDescent="0.2">
      <c r="A182" s="538" t="s">
        <v>27</v>
      </c>
      <c r="B182" s="539" t="s">
        <v>0</v>
      </c>
      <c r="C182" s="536" t="s">
        <v>0</v>
      </c>
      <c r="D182" s="536" t="s">
        <v>78</v>
      </c>
      <c r="E182" s="537" t="s">
        <v>383</v>
      </c>
      <c r="F182" s="537"/>
      <c r="G182" s="537"/>
      <c r="H182" s="537"/>
      <c r="I182" s="537"/>
      <c r="J182" s="536" t="s">
        <v>382</v>
      </c>
      <c r="K182" s="327" t="s">
        <v>381</v>
      </c>
      <c r="L182" s="293" t="s">
        <v>380</v>
      </c>
      <c r="M182" s="327" t="s">
        <v>35</v>
      </c>
      <c r="N182" s="336">
        <v>5</v>
      </c>
      <c r="O182" s="336">
        <v>5</v>
      </c>
      <c r="P182" s="336">
        <v>5</v>
      </c>
      <c r="Q182" s="568" t="s">
        <v>547</v>
      </c>
      <c r="R182" s="322"/>
      <c r="S182" s="325"/>
      <c r="T182" s="325"/>
      <c r="U182" s="325"/>
      <c r="V182" s="325"/>
      <c r="W182" s="325"/>
    </row>
    <row r="183" spans="1:23" s="323" customFormat="1" x14ac:dyDescent="0.2">
      <c r="A183" s="538"/>
      <c r="B183" s="539"/>
      <c r="C183" s="536"/>
      <c r="D183" s="536"/>
      <c r="E183" s="537"/>
      <c r="F183" s="537"/>
      <c r="G183" s="537"/>
      <c r="H183" s="537"/>
      <c r="I183" s="537"/>
      <c r="J183" s="536"/>
      <c r="K183" s="327" t="s">
        <v>379</v>
      </c>
      <c r="L183" s="293" t="s">
        <v>378</v>
      </c>
      <c r="M183" s="327" t="s">
        <v>12</v>
      </c>
      <c r="N183" s="336">
        <v>5</v>
      </c>
      <c r="O183" s="336">
        <v>5</v>
      </c>
      <c r="P183" s="336">
        <v>5</v>
      </c>
      <c r="Q183" s="568"/>
      <c r="R183" s="322"/>
    </row>
    <row r="184" spans="1:23" s="323" customFormat="1" x14ac:dyDescent="0.2">
      <c r="A184" s="538"/>
      <c r="B184" s="539"/>
      <c r="C184" s="536"/>
      <c r="D184" s="536"/>
      <c r="E184" s="293" t="s">
        <v>14</v>
      </c>
      <c r="F184" s="32">
        <v>9</v>
      </c>
      <c r="G184" s="32">
        <v>20</v>
      </c>
      <c r="H184" s="106">
        <f>ROUND(G184*Lapas1!$B$1, 1)</f>
        <v>21.6</v>
      </c>
      <c r="I184" s="106">
        <f>ROUND(H184*Lapas1!$B$1, 1)</f>
        <v>23.3</v>
      </c>
      <c r="J184" s="329"/>
      <c r="K184" s="329"/>
      <c r="L184" s="364"/>
      <c r="M184" s="329"/>
      <c r="N184" s="332"/>
      <c r="O184" s="332"/>
      <c r="P184" s="329"/>
      <c r="Q184" s="329"/>
      <c r="R184" s="322"/>
    </row>
    <row r="185" spans="1:23" s="323" customFormat="1" x14ac:dyDescent="0.2">
      <c r="A185" s="538"/>
      <c r="B185" s="539"/>
      <c r="C185" s="536"/>
      <c r="D185" s="536"/>
      <c r="E185" s="294" t="s">
        <v>22</v>
      </c>
      <c r="F185" s="29">
        <f>SUM(F184:F184)</f>
        <v>9</v>
      </c>
      <c r="G185" s="29">
        <f>SUM(G184:G184)</f>
        <v>20</v>
      </c>
      <c r="H185" s="29">
        <f>SUM(H184:H184)</f>
        <v>21.6</v>
      </c>
      <c r="I185" s="29">
        <f>SUM(I184:I184)</f>
        <v>23.3</v>
      </c>
      <c r="J185" s="329"/>
      <c r="K185" s="329"/>
      <c r="L185" s="364"/>
      <c r="M185" s="329"/>
      <c r="N185" s="332"/>
      <c r="O185" s="332"/>
      <c r="P185" s="329"/>
      <c r="Q185" s="329"/>
      <c r="R185" s="334">
        <f>(G185-F185)/F185</f>
        <v>1.2222222222222223</v>
      </c>
    </row>
    <row r="186" spans="1:23" s="323" customFormat="1" x14ac:dyDescent="0.2">
      <c r="A186" s="320" t="s">
        <v>27</v>
      </c>
      <c r="B186" s="82" t="s">
        <v>0</v>
      </c>
      <c r="C186" s="344"/>
      <c r="D186" s="344" t="s">
        <v>18</v>
      </c>
      <c r="E186" s="345" t="s">
        <v>275</v>
      </c>
      <c r="F186" s="41">
        <f t="shared" ref="F186:F187" si="33">F185</f>
        <v>9</v>
      </c>
      <c r="G186" s="41">
        <f t="shared" ref="G186:I186" si="34">G185</f>
        <v>20</v>
      </c>
      <c r="H186" s="41">
        <f t="shared" si="34"/>
        <v>21.6</v>
      </c>
      <c r="I186" s="41">
        <f t="shared" si="34"/>
        <v>23.3</v>
      </c>
      <c r="J186" s="346"/>
      <c r="K186" s="348"/>
      <c r="L186" s="348"/>
      <c r="M186" s="348"/>
      <c r="N186" s="348"/>
      <c r="O186" s="348"/>
      <c r="P186" s="348"/>
      <c r="Q186" s="348"/>
      <c r="R186" s="322"/>
    </row>
    <row r="187" spans="1:23" s="323" customFormat="1" x14ac:dyDescent="0.2">
      <c r="A187" s="351" t="s">
        <v>27</v>
      </c>
      <c r="B187" s="352"/>
      <c r="C187" s="352"/>
      <c r="D187" s="352"/>
      <c r="E187" s="353" t="s">
        <v>276</v>
      </c>
      <c r="F187" s="37">
        <f t="shared" si="33"/>
        <v>9</v>
      </c>
      <c r="G187" s="37">
        <f t="shared" ref="G187:I187" si="35">G186</f>
        <v>20</v>
      </c>
      <c r="H187" s="37">
        <f t="shared" si="35"/>
        <v>21.6</v>
      </c>
      <c r="I187" s="37">
        <f t="shared" si="35"/>
        <v>23.3</v>
      </c>
      <c r="J187" s="354"/>
      <c r="K187" s="355"/>
      <c r="L187" s="355"/>
      <c r="M187" s="355"/>
      <c r="N187" s="355"/>
      <c r="O187" s="355"/>
      <c r="P187" s="355"/>
      <c r="Q187" s="355"/>
      <c r="R187" s="322"/>
    </row>
    <row r="188" spans="1:23" s="323" customFormat="1" x14ac:dyDescent="0.2">
      <c r="A188" s="370"/>
      <c r="B188" s="370"/>
      <c r="C188" s="370"/>
      <c r="D188" s="370"/>
      <c r="E188" s="370" t="s">
        <v>277</v>
      </c>
      <c r="F188" s="22">
        <f>F125+F150+F161+F168+F179+F187</f>
        <v>13298.555999999999</v>
      </c>
      <c r="G188" s="22">
        <f t="shared" ref="G188:I188" si="36">G125+G150+G161+G168+G179+G187</f>
        <v>14862.307000000001</v>
      </c>
      <c r="H188" s="22">
        <f t="shared" si="36"/>
        <v>16051.200000000003</v>
      </c>
      <c r="I188" s="22">
        <f t="shared" si="36"/>
        <v>17335.400000000001</v>
      </c>
      <c r="J188" s="371"/>
      <c r="K188" s="372"/>
      <c r="L188" s="372"/>
      <c r="M188" s="372"/>
      <c r="N188" s="372"/>
      <c r="O188" s="372"/>
      <c r="P188" s="372"/>
      <c r="Q188" s="372"/>
      <c r="R188" s="322"/>
    </row>
    <row r="189" spans="1:23" ht="42" customHeight="1" x14ac:dyDescent="0.2">
      <c r="A189" s="566" t="s">
        <v>876</v>
      </c>
      <c r="B189" s="566"/>
      <c r="C189" s="566"/>
      <c r="D189" s="566"/>
      <c r="E189" s="566"/>
      <c r="F189" s="566"/>
      <c r="G189" s="566"/>
      <c r="H189" s="566"/>
      <c r="I189" s="566"/>
      <c r="J189" s="566"/>
      <c r="K189" s="566"/>
    </row>
    <row r="190" spans="1:23" ht="24.75" customHeight="1" x14ac:dyDescent="0.2">
      <c r="A190" s="565" t="s">
        <v>881</v>
      </c>
      <c r="B190" s="565"/>
      <c r="C190" s="565"/>
      <c r="D190" s="565"/>
      <c r="E190" s="565"/>
      <c r="F190" s="565"/>
      <c r="G190" s="565"/>
      <c r="H190" s="565"/>
      <c r="I190" s="565"/>
      <c r="J190" s="565"/>
      <c r="K190" s="565"/>
    </row>
    <row r="191" spans="1:23" x14ac:dyDescent="0.2">
      <c r="A191" s="373"/>
    </row>
    <row r="192" spans="1:23" x14ac:dyDescent="0.2">
      <c r="A192" s="561" t="s">
        <v>4</v>
      </c>
      <c r="B192" s="561"/>
      <c r="C192" s="561"/>
      <c r="D192" s="561"/>
      <c r="E192" s="561"/>
      <c r="F192" s="561"/>
      <c r="G192" s="561"/>
      <c r="H192" s="561"/>
      <c r="I192" s="561"/>
    </row>
    <row r="193" spans="1:9" ht="26.25" customHeight="1" x14ac:dyDescent="0.2">
      <c r="A193" s="564" t="s">
        <v>13</v>
      </c>
      <c r="B193" s="564"/>
      <c r="C193" s="564"/>
      <c r="D193" s="564"/>
      <c r="E193" s="374" t="s">
        <v>14</v>
      </c>
      <c r="F193" s="29">
        <f>F26+F29+F50+F56+F59+F65+F69+F76+F80+F83+F97+F102+F105+F119+F122+F132+F135+F142+F147+F154+F158+F165+F176+F184</f>
        <v>8622.0000000000018</v>
      </c>
      <c r="G193" s="29">
        <f>G26+G29+G56+G59+G65+G69+G76+G80+G83+G97+G102+G105+G119+G122+G132+G135+G142+G147+G154+G158+G165+G176+G184</f>
        <v>9962.7000000000007</v>
      </c>
      <c r="H193" s="29">
        <f>H26+H29+H50+H56+H59+H65+H69+H76+H80+H83+H97+H102+H105+H119+H122+H132+H135+H142+H147+H154+H158+H165+H176+H184</f>
        <v>10759.7</v>
      </c>
      <c r="I193" s="29">
        <f>I26+I29+I50+I56+I59+I65+I69+I76+I80+I83+I97+I102+I105+I119+I122+I132+I135+I142+I147+I154+I158+I165+I176+I184</f>
        <v>11620.600000000002</v>
      </c>
    </row>
    <row r="194" spans="1:9" ht="26.25" customHeight="1" x14ac:dyDescent="0.2">
      <c r="A194" s="564" t="s">
        <v>20</v>
      </c>
      <c r="B194" s="564"/>
      <c r="C194" s="564"/>
      <c r="D194" s="564"/>
      <c r="E194" s="374" t="s">
        <v>15</v>
      </c>
      <c r="F194" s="29">
        <f>F17+F21+F25+F30+F38+F41+F46+F49+F60+F70+F73+F77+F86+F98+F106+F114+F155</f>
        <v>4577.9559999999992</v>
      </c>
      <c r="G194" s="29">
        <f t="shared" ref="G194:I194" si="37">G17+G21+G25+G30+G38+G41+G46+G49+G60+G70+G73+G77+G86+G98+G106+G114+G155</f>
        <v>4798.4070000000002</v>
      </c>
      <c r="H194" s="29">
        <f t="shared" si="37"/>
        <v>5182.1999999999989</v>
      </c>
      <c r="I194" s="29">
        <f t="shared" si="37"/>
        <v>5596.7</v>
      </c>
    </row>
    <row r="195" spans="1:9" ht="50.25" customHeight="1" x14ac:dyDescent="0.2">
      <c r="A195" s="564" t="s">
        <v>16</v>
      </c>
      <c r="B195" s="564"/>
      <c r="C195" s="564"/>
      <c r="D195" s="564"/>
      <c r="E195" s="374" t="s">
        <v>17</v>
      </c>
      <c r="F195" s="29">
        <f>F99+F107+F143</f>
        <v>98.6</v>
      </c>
      <c r="G195" s="29">
        <f t="shared" ref="G195:I195" si="38">G99+G107+G143</f>
        <v>101.2</v>
      </c>
      <c r="H195" s="29">
        <f t="shared" si="38"/>
        <v>109.3</v>
      </c>
      <c r="I195" s="29">
        <f t="shared" si="38"/>
        <v>118.1</v>
      </c>
    </row>
    <row r="196" spans="1:9" ht="26.25" customHeight="1" x14ac:dyDescent="0.2">
      <c r="A196" s="564" t="s">
        <v>347</v>
      </c>
      <c r="B196" s="564"/>
      <c r="C196" s="564"/>
      <c r="D196" s="564"/>
      <c r="E196" s="374" t="s">
        <v>269</v>
      </c>
      <c r="F196" s="29"/>
      <c r="G196" s="29"/>
      <c r="H196" s="29"/>
      <c r="I196" s="29"/>
    </row>
    <row r="197" spans="1:9" ht="26.25" customHeight="1" x14ac:dyDescent="0.2">
      <c r="A197" s="564" t="s">
        <v>288</v>
      </c>
      <c r="B197" s="564"/>
      <c r="C197" s="564"/>
      <c r="D197" s="564"/>
      <c r="E197" s="374" t="s">
        <v>18</v>
      </c>
      <c r="F197" s="29"/>
      <c r="G197" s="29"/>
      <c r="H197" s="29"/>
      <c r="I197" s="29"/>
    </row>
    <row r="198" spans="1:9" x14ac:dyDescent="0.2">
      <c r="A198" s="564" t="s">
        <v>179</v>
      </c>
      <c r="B198" s="564"/>
      <c r="C198" s="564"/>
      <c r="D198" s="564"/>
      <c r="E198" s="374" t="s">
        <v>170</v>
      </c>
      <c r="F198" s="29"/>
      <c r="G198" s="29"/>
      <c r="H198" s="29"/>
      <c r="I198" s="29"/>
    </row>
    <row r="199" spans="1:9" ht="24" customHeight="1" x14ac:dyDescent="0.2">
      <c r="A199" s="563" t="s">
        <v>3</v>
      </c>
      <c r="B199" s="563"/>
      <c r="C199" s="563"/>
      <c r="D199" s="563"/>
      <c r="E199" s="563"/>
      <c r="F199" s="54">
        <f>SUM(F193:F195)</f>
        <v>13298.556000000002</v>
      </c>
      <c r="G199" s="54">
        <f>SUM(G193:G195)</f>
        <v>14862.307000000001</v>
      </c>
      <c r="H199" s="54">
        <f>SUM(H193:H195)</f>
        <v>16051.199999999999</v>
      </c>
      <c r="I199" s="54">
        <f>SUM(I193:I195)</f>
        <v>17335.400000000001</v>
      </c>
    </row>
    <row r="200" spans="1:9" x14ac:dyDescent="0.2">
      <c r="A200" s="562" t="s">
        <v>7</v>
      </c>
      <c r="B200" s="562"/>
      <c r="C200" s="562"/>
      <c r="D200" s="562"/>
      <c r="E200" s="562"/>
      <c r="F200" s="58"/>
      <c r="G200" s="58"/>
      <c r="H200" s="58"/>
      <c r="I200" s="58"/>
    </row>
    <row r="201" spans="1:9" x14ac:dyDescent="0.2">
      <c r="A201" s="562" t="s">
        <v>5</v>
      </c>
      <c r="B201" s="562"/>
      <c r="C201" s="562"/>
      <c r="D201" s="562"/>
      <c r="E201" s="562"/>
      <c r="F201" s="58">
        <f>F133+F148+F156+F185+F120+F159</f>
        <v>1114.4000000000001</v>
      </c>
      <c r="G201" s="58">
        <f t="shared" ref="G201:I201" si="39">G133+G148+G156+G185+G120+G159</f>
        <v>1738.4</v>
      </c>
      <c r="H201" s="58">
        <f t="shared" si="39"/>
        <v>1877.5</v>
      </c>
      <c r="I201" s="58">
        <f t="shared" si="39"/>
        <v>2027.7</v>
      </c>
    </row>
    <row r="202" spans="1:9" x14ac:dyDescent="0.2">
      <c r="A202" s="562" t="s">
        <v>6</v>
      </c>
      <c r="B202" s="562"/>
      <c r="C202" s="562"/>
      <c r="D202" s="562"/>
      <c r="E202" s="562"/>
      <c r="F202" s="58">
        <f>F188-F201</f>
        <v>12184.155999999999</v>
      </c>
      <c r="G202" s="58">
        <f>G188-G201</f>
        <v>13123.907000000001</v>
      </c>
      <c r="H202" s="58">
        <f>H188-H201</f>
        <v>14173.700000000003</v>
      </c>
      <c r="I202" s="58">
        <f>I188-I201</f>
        <v>15307.7</v>
      </c>
    </row>
    <row r="203" spans="1:9" x14ac:dyDescent="0.2">
      <c r="F203" s="15"/>
      <c r="G203" s="15"/>
      <c r="H203" s="15"/>
      <c r="I203" s="15"/>
    </row>
    <row r="204" spans="1:9" hidden="1" x14ac:dyDescent="0.2">
      <c r="E204" s="10" t="s">
        <v>23</v>
      </c>
      <c r="F204" s="13">
        <f>F199-F188</f>
        <v>0</v>
      </c>
      <c r="G204" s="13">
        <f>G199-G188</f>
        <v>0</v>
      </c>
      <c r="H204" s="13">
        <f>H199-H188</f>
        <v>0</v>
      </c>
      <c r="I204" s="13">
        <f>I199-I188</f>
        <v>0</v>
      </c>
    </row>
    <row r="205" spans="1:9" hidden="1" x14ac:dyDescent="0.2">
      <c r="F205" s="57">
        <f>F201+F202-F188</f>
        <v>0</v>
      </c>
      <c r="G205" s="57">
        <f>G201+G202-G188</f>
        <v>0</v>
      </c>
      <c r="H205" s="57">
        <f>H201+H202-H188</f>
        <v>0</v>
      </c>
      <c r="I205" s="57">
        <f>I201+I202-I188</f>
        <v>0</v>
      </c>
    </row>
  </sheetData>
  <mergeCells count="250">
    <mergeCell ref="E104:I104"/>
    <mergeCell ref="E126:Q126"/>
    <mergeCell ref="C112:C115"/>
    <mergeCell ref="D112:D115"/>
    <mergeCell ref="Q89:Q91"/>
    <mergeCell ref="Q127:Q128"/>
    <mergeCell ref="Q129:Q131"/>
    <mergeCell ref="Q145:Q146"/>
    <mergeCell ref="Q182:Q183"/>
    <mergeCell ref="E169:Q169"/>
    <mergeCell ref="E170:I170"/>
    <mergeCell ref="E171:I175"/>
    <mergeCell ref="E180:Q180"/>
    <mergeCell ref="E181:I181"/>
    <mergeCell ref="E182:I183"/>
    <mergeCell ref="E162:Q162"/>
    <mergeCell ref="E112:I113"/>
    <mergeCell ref="E117:I117"/>
    <mergeCell ref="E118:I118"/>
    <mergeCell ref="E121:I121"/>
    <mergeCell ref="J112:J113"/>
    <mergeCell ref="J92:J96"/>
    <mergeCell ref="J89:J91"/>
    <mergeCell ref="A118:A120"/>
    <mergeCell ref="E89:I91"/>
    <mergeCell ref="E101:I101"/>
    <mergeCell ref="E151:Q151"/>
    <mergeCell ref="E152:I152"/>
    <mergeCell ref="A139:A144"/>
    <mergeCell ref="A32:A39"/>
    <mergeCell ref="A23:A27"/>
    <mergeCell ref="A28:A31"/>
    <mergeCell ref="D23:D27"/>
    <mergeCell ref="B118:B120"/>
    <mergeCell ref="C118:C120"/>
    <mergeCell ref="D118:D120"/>
    <mergeCell ref="B112:B115"/>
    <mergeCell ref="A121:A123"/>
    <mergeCell ref="B121:B123"/>
    <mergeCell ref="C121:C123"/>
    <mergeCell ref="D121:D123"/>
    <mergeCell ref="A79:A81"/>
    <mergeCell ref="B89:B91"/>
    <mergeCell ref="A82:A84"/>
    <mergeCell ref="A145:A148"/>
    <mergeCell ref="A127:A128"/>
    <mergeCell ref="D127:D128"/>
    <mergeCell ref="A75:A78"/>
    <mergeCell ref="D40:D42"/>
    <mergeCell ref="D43:D47"/>
    <mergeCell ref="A40:A42"/>
    <mergeCell ref="B58:B61"/>
    <mergeCell ref="C58:C61"/>
    <mergeCell ref="D58:D61"/>
    <mergeCell ref="A43:A47"/>
    <mergeCell ref="A48:A51"/>
    <mergeCell ref="A72:A74"/>
    <mergeCell ref="A62:A66"/>
    <mergeCell ref="B62:B66"/>
    <mergeCell ref="C62:C66"/>
    <mergeCell ref="D62:D66"/>
    <mergeCell ref="A67:A71"/>
    <mergeCell ref="D48:D51"/>
    <mergeCell ref="C67:C71"/>
    <mergeCell ref="D67:D71"/>
    <mergeCell ref="A58:A61"/>
    <mergeCell ref="B75:B78"/>
    <mergeCell ref="C75:C78"/>
    <mergeCell ref="D75:D78"/>
    <mergeCell ref="C52:C57"/>
    <mergeCell ref="D52:D57"/>
    <mergeCell ref="A104:A108"/>
    <mergeCell ref="A182:A185"/>
    <mergeCell ref="C182:C185"/>
    <mergeCell ref="B182:B185"/>
    <mergeCell ref="A189:K189"/>
    <mergeCell ref="A89:A91"/>
    <mergeCell ref="C89:C91"/>
    <mergeCell ref="D89:D91"/>
    <mergeCell ref="A92:A100"/>
    <mergeCell ref="B92:B100"/>
    <mergeCell ref="C92:C100"/>
    <mergeCell ref="D92:D100"/>
    <mergeCell ref="A101:A103"/>
    <mergeCell ref="B101:B103"/>
    <mergeCell ref="C101:C103"/>
    <mergeCell ref="D101:D103"/>
    <mergeCell ref="B104:B108"/>
    <mergeCell ref="C104:C108"/>
    <mergeCell ref="D104:D108"/>
    <mergeCell ref="A112:A115"/>
    <mergeCell ref="A134:A136"/>
    <mergeCell ref="B134:B136"/>
    <mergeCell ref="C134:C136"/>
    <mergeCell ref="B153:B156"/>
    <mergeCell ref="A129:A133"/>
    <mergeCell ref="A192:I192"/>
    <mergeCell ref="A202:E202"/>
    <mergeCell ref="A199:E199"/>
    <mergeCell ref="A200:E200"/>
    <mergeCell ref="A201:E201"/>
    <mergeCell ref="A196:D196"/>
    <mergeCell ref="A197:D197"/>
    <mergeCell ref="A198:D198"/>
    <mergeCell ref="A195:D195"/>
    <mergeCell ref="A194:D194"/>
    <mergeCell ref="A153:A156"/>
    <mergeCell ref="A193:D193"/>
    <mergeCell ref="A190:K190"/>
    <mergeCell ref="B139:B144"/>
    <mergeCell ref="B145:B148"/>
    <mergeCell ref="C139:C144"/>
    <mergeCell ref="C145:C148"/>
    <mergeCell ref="J182:J183"/>
    <mergeCell ref="B164:B166"/>
    <mergeCell ref="B171:B177"/>
    <mergeCell ref="J171:J175"/>
    <mergeCell ref="D182:D185"/>
    <mergeCell ref="R171:R175"/>
    <mergeCell ref="A164:A166"/>
    <mergeCell ref="C164:C166"/>
    <mergeCell ref="D164:D166"/>
    <mergeCell ref="S153:W153"/>
    <mergeCell ref="E153:I153"/>
    <mergeCell ref="C153:C156"/>
    <mergeCell ref="D153:D156"/>
    <mergeCell ref="A157:A159"/>
    <mergeCell ref="B157:B159"/>
    <mergeCell ref="C157:C159"/>
    <mergeCell ref="D157:D159"/>
    <mergeCell ref="E157:I157"/>
    <mergeCell ref="S157:W157"/>
    <mergeCell ref="E163:I163"/>
    <mergeCell ref="E164:I164"/>
    <mergeCell ref="A171:A177"/>
    <mergeCell ref="C171:C177"/>
    <mergeCell ref="D171:D177"/>
    <mergeCell ref="S139:W139"/>
    <mergeCell ref="J145:J146"/>
    <mergeCell ref="S145:W145"/>
    <mergeCell ref="S129:W129"/>
    <mergeCell ref="S134:W134"/>
    <mergeCell ref="B127:B128"/>
    <mergeCell ref="J127:J128"/>
    <mergeCell ref="J129:J131"/>
    <mergeCell ref="J139:J141"/>
    <mergeCell ref="D139:D144"/>
    <mergeCell ref="D145:D148"/>
    <mergeCell ref="B129:B133"/>
    <mergeCell ref="C129:C133"/>
    <mergeCell ref="D129:D133"/>
    <mergeCell ref="E127:I128"/>
    <mergeCell ref="E129:I131"/>
    <mergeCell ref="E134:I134"/>
    <mergeCell ref="E138:I138"/>
    <mergeCell ref="E139:I141"/>
    <mergeCell ref="E145:I146"/>
    <mergeCell ref="D134:D136"/>
    <mergeCell ref="C127:C128"/>
    <mergeCell ref="E75:I75"/>
    <mergeCell ref="B72:B74"/>
    <mergeCell ref="C72:C74"/>
    <mergeCell ref="D72:D74"/>
    <mergeCell ref="E72:I72"/>
    <mergeCell ref="B79:B81"/>
    <mergeCell ref="C79:C81"/>
    <mergeCell ref="D79:D81"/>
    <mergeCell ref="E79:I79"/>
    <mergeCell ref="R9:R10"/>
    <mergeCell ref="B13:B14"/>
    <mergeCell ref="J13:J14"/>
    <mergeCell ref="J19:J20"/>
    <mergeCell ref="Q13:Q14"/>
    <mergeCell ref="B32:B39"/>
    <mergeCell ref="C32:C39"/>
    <mergeCell ref="B40:B42"/>
    <mergeCell ref="C40:C42"/>
    <mergeCell ref="B23:B27"/>
    <mergeCell ref="C23:C27"/>
    <mergeCell ref="B28:B31"/>
    <mergeCell ref="C28:C31"/>
    <mergeCell ref="E40:I40"/>
    <mergeCell ref="A9:C9"/>
    <mergeCell ref="D9:D10"/>
    <mergeCell ref="Q9:Q10"/>
    <mergeCell ref="E13:I14"/>
    <mergeCell ref="E19:I20"/>
    <mergeCell ref="D28:D31"/>
    <mergeCell ref="D32:D39"/>
    <mergeCell ref="E23:I24"/>
    <mergeCell ref="E28:I28"/>
    <mergeCell ref="E15:I16"/>
    <mergeCell ref="L1:N1"/>
    <mergeCell ref="E9:E10"/>
    <mergeCell ref="F9:F10"/>
    <mergeCell ref="G9:G10"/>
    <mergeCell ref="H9:H10"/>
    <mergeCell ref="I9:I10"/>
    <mergeCell ref="J9:J10"/>
    <mergeCell ref="K9:K10"/>
    <mergeCell ref="L9:M9"/>
    <mergeCell ref="N9:P9"/>
    <mergeCell ref="A52:A57"/>
    <mergeCell ref="A8:P8"/>
    <mergeCell ref="A13:A14"/>
    <mergeCell ref="A15:A18"/>
    <mergeCell ref="A19:A22"/>
    <mergeCell ref="B15:B18"/>
    <mergeCell ref="C15:C18"/>
    <mergeCell ref="B19:B22"/>
    <mergeCell ref="C19:C22"/>
    <mergeCell ref="D15:D18"/>
    <mergeCell ref="E12:Q12"/>
    <mergeCell ref="C13:C14"/>
    <mergeCell ref="D13:D14"/>
    <mergeCell ref="D19:D22"/>
    <mergeCell ref="E52:I55"/>
    <mergeCell ref="J32:J37"/>
    <mergeCell ref="E32:I37"/>
    <mergeCell ref="E43:I45"/>
    <mergeCell ref="B43:B47"/>
    <mergeCell ref="C43:C47"/>
    <mergeCell ref="B48:B51"/>
    <mergeCell ref="C48:C51"/>
    <mergeCell ref="B52:B57"/>
    <mergeCell ref="E48:I48"/>
    <mergeCell ref="A110:A111"/>
    <mergeCell ref="B110:B111"/>
    <mergeCell ref="C110:C111"/>
    <mergeCell ref="D110:D111"/>
    <mergeCell ref="E110:I111"/>
    <mergeCell ref="J110:J111"/>
    <mergeCell ref="Q110:Q111"/>
    <mergeCell ref="J52:J55"/>
    <mergeCell ref="J23:J24"/>
    <mergeCell ref="E92:I96"/>
    <mergeCell ref="A85:A87"/>
    <mergeCell ref="B85:B87"/>
    <mergeCell ref="C85:C87"/>
    <mergeCell ref="D85:D87"/>
    <mergeCell ref="E85:I85"/>
    <mergeCell ref="E58:I58"/>
    <mergeCell ref="E62:I64"/>
    <mergeCell ref="J67:J68"/>
    <mergeCell ref="B67:B71"/>
    <mergeCell ref="B82:B84"/>
    <mergeCell ref="C82:C84"/>
    <mergeCell ref="D82:D84"/>
    <mergeCell ref="E82:I82"/>
    <mergeCell ref="E67:I68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  <rowBreaks count="4" manualBreakCount="4">
    <brk id="31" max="17" man="1"/>
    <brk id="88" max="17" man="1"/>
    <brk id="125" max="17" man="1"/>
    <brk id="161" max="17" man="1"/>
  </rowBreaks>
  <colBreaks count="1" manualBreakCount="1">
    <brk id="18" max="19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Normal="100" zoomScaleSheetLayoutView="70" workbookViewId="0">
      <pane ySplit="11" topLeftCell="A42" activePane="bottomLeft" state="frozen"/>
      <selection pane="bottomLeft" activeCell="L62" sqref="L62"/>
    </sheetView>
  </sheetViews>
  <sheetFormatPr defaultColWidth="9.140625" defaultRowHeight="12.75" x14ac:dyDescent="0.2"/>
  <cols>
    <col min="1" max="2" width="5" style="11" customWidth="1"/>
    <col min="3" max="4" width="5" style="9" customWidth="1"/>
    <col min="5" max="5" width="17.7109375" style="9" customWidth="1"/>
    <col min="6" max="6" width="13" style="9" customWidth="1"/>
    <col min="7" max="7" width="13" style="10" customWidth="1"/>
    <col min="8" max="9" width="13" style="9" customWidth="1"/>
    <col min="10" max="11" width="24.7109375" style="9" customWidth="1"/>
    <col min="12" max="12" width="49.7109375" style="9" customWidth="1"/>
    <col min="13" max="16" width="6.28515625" style="9" customWidth="1"/>
    <col min="17" max="17" width="32.7109375" style="9" customWidth="1"/>
    <col min="18" max="18" width="11.7109375" style="55" hidden="1" customWidth="1"/>
    <col min="19" max="19" width="46.7109375" style="9" bestFit="1" customWidth="1"/>
    <col min="20" max="16384" width="9.140625" style="9"/>
  </cols>
  <sheetData>
    <row r="1" spans="1:18" x14ac:dyDescent="0.2">
      <c r="Q1" s="9" t="str">
        <f>'001'!Q1</f>
        <v>PATVIRTINTA</v>
      </c>
    </row>
    <row r="2" spans="1:18" x14ac:dyDescent="0.2">
      <c r="Q2" s="9" t="str">
        <f>'001'!Q2</f>
        <v>Plungės rajono savivaldybės tarybos</v>
      </c>
    </row>
    <row r="3" spans="1:18" x14ac:dyDescent="0.2">
      <c r="Q3" s="9" t="str">
        <f>'001'!Q3</f>
        <v>2025 m. vasario 13 d. sprendimu Nr.T1-</v>
      </c>
    </row>
    <row r="4" spans="1:18" x14ac:dyDescent="0.2">
      <c r="Q4" s="9" t="str">
        <f>'001'!Q4</f>
        <v xml:space="preserve">Plungės rajono savivaldybės </v>
      </c>
    </row>
    <row r="5" spans="1:18" x14ac:dyDescent="0.2">
      <c r="L5" s="74"/>
      <c r="Q5" s="9" t="str">
        <f>'001'!Q5</f>
        <v>2025–2027 metų  strateginio veiklos plano</v>
      </c>
    </row>
    <row r="6" spans="1:18" x14ac:dyDescent="0.2">
      <c r="L6" s="52"/>
      <c r="Q6" s="9" t="s">
        <v>886</v>
      </c>
    </row>
    <row r="7" spans="1:18" x14ac:dyDescent="0.2">
      <c r="H7" s="52"/>
    </row>
    <row r="8" spans="1:18" x14ac:dyDescent="0.2">
      <c r="A8" s="496" t="s">
        <v>579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81" t="s">
        <v>284</v>
      </c>
      <c r="R8" s="66"/>
    </row>
    <row r="9" spans="1:18" ht="27" customHeight="1" x14ac:dyDescent="0.2">
      <c r="A9" s="448" t="str">
        <f>'001'!A9:R11</f>
        <v>Kodas</v>
      </c>
      <c r="B9" s="448"/>
      <c r="C9" s="448"/>
      <c r="D9" s="473" t="str">
        <f>'001'!D9:D10</f>
        <v>Uždavinio/ priemonės požymis *</v>
      </c>
      <c r="E9" s="448" t="str">
        <f>'001'!E9:E10</f>
        <v>Programos tikslo/uždavinio/priemonės pavadinimas ir finansavimo šaltiniai</v>
      </c>
      <c r="F9" s="448" t="str">
        <f>'001'!F9:F10</f>
        <v>2024-ųjų m. asignavimai ir kitos lėšos (2024-12-31 datai)</v>
      </c>
      <c r="G9" s="472" t="str">
        <f>'001'!G9:G10</f>
        <v>2025-ųjų m. asignavimai ir kitos lėšos</v>
      </c>
      <c r="H9" s="448" t="str">
        <f>'001'!H9:H10</f>
        <v>Planuojami   2026-ųjų m. asignavimai ir kitos lėšos</v>
      </c>
      <c r="I9" s="448" t="str">
        <f>'001'!I9:I10</f>
        <v>Planuojami  2027-ųjų m. asignavimai ir kitos lėšos</v>
      </c>
      <c r="J9" s="448" t="str">
        <f>'001'!J9:J10</f>
        <v>Savivaldybės strateginio plėtros plano tikslo/uždavinio kodas**</v>
      </c>
      <c r="K9" s="448" t="str">
        <f>'001'!K9:K10</f>
        <v>Stebėsenos rodiklio kodas</v>
      </c>
      <c r="L9" s="447" t="str">
        <f>'001'!L9:M9</f>
        <v>Stebėsenos rodiklio</v>
      </c>
      <c r="M9" s="447"/>
      <c r="N9" s="447" t="str">
        <f>'001'!N9:P9</f>
        <v>Siektinos stebėsenos rodiklių reikšmės</v>
      </c>
      <c r="O9" s="447"/>
      <c r="P9" s="447"/>
      <c r="Q9" s="447" t="str">
        <f>'001'!Q9:Q10</f>
        <v>Savivaldybės strateginio plėtros plano rodiklio kodas**</v>
      </c>
      <c r="R9" s="471" t="str">
        <f>'001'!R9:R10</f>
        <v>Asignavimų skirtumas (2024 m.- 2025 m.)</v>
      </c>
    </row>
    <row r="10" spans="1:18" ht="82.5" customHeight="1" x14ac:dyDescent="0.2">
      <c r="A10" s="71" t="str">
        <f>'001'!A10</f>
        <v>tikslo</v>
      </c>
      <c r="B10" s="71" t="str">
        <f>'001'!B10</f>
        <v>uždavinio</v>
      </c>
      <c r="C10" s="71" t="str">
        <f>'001'!C10</f>
        <v>priemonės</v>
      </c>
      <c r="D10" s="473"/>
      <c r="E10" s="448"/>
      <c r="F10" s="448"/>
      <c r="G10" s="472"/>
      <c r="H10" s="448"/>
      <c r="I10" s="448"/>
      <c r="J10" s="448"/>
      <c r="K10" s="448"/>
      <c r="L10" s="76" t="str">
        <f>'001'!L10</f>
        <v>pavadinimas</v>
      </c>
      <c r="M10" s="76" t="str">
        <f>'001'!M10</f>
        <v>mato vnt.</v>
      </c>
      <c r="N10" s="76">
        <f>'001'!N10</f>
        <v>2025</v>
      </c>
      <c r="O10" s="76">
        <f>'001'!O10</f>
        <v>2026</v>
      </c>
      <c r="P10" s="76">
        <f>'001'!P10</f>
        <v>2027</v>
      </c>
      <c r="Q10" s="447"/>
      <c r="R10" s="471"/>
    </row>
    <row r="11" spans="1:18" x14ac:dyDescent="0.2">
      <c r="A11" s="49">
        <f>'001'!A11</f>
        <v>1</v>
      </c>
      <c r="B11" s="49">
        <f>'001'!B11</f>
        <v>2</v>
      </c>
      <c r="C11" s="49">
        <f>'001'!C11</f>
        <v>3</v>
      </c>
      <c r="D11" s="49">
        <f>'001'!D11</f>
        <v>4</v>
      </c>
      <c r="E11" s="49">
        <f>'001'!E11</f>
        <v>5</v>
      </c>
      <c r="F11" s="49">
        <f>'001'!F11</f>
        <v>6</v>
      </c>
      <c r="G11" s="50">
        <f>'001'!G11</f>
        <v>7</v>
      </c>
      <c r="H11" s="49">
        <f>'001'!H11</f>
        <v>8</v>
      </c>
      <c r="I11" s="49">
        <f>'001'!I11</f>
        <v>9</v>
      </c>
      <c r="J11" s="49">
        <f>'001'!J11</f>
        <v>10</v>
      </c>
      <c r="K11" s="49">
        <f>'001'!K11</f>
        <v>11</v>
      </c>
      <c r="L11" s="49">
        <f>'001'!L11</f>
        <v>12</v>
      </c>
      <c r="M11" s="49">
        <f>'001'!M11</f>
        <v>13</v>
      </c>
      <c r="N11" s="49">
        <f>'001'!N11</f>
        <v>14</v>
      </c>
      <c r="O11" s="49">
        <f>'001'!O11</f>
        <v>15</v>
      </c>
      <c r="P11" s="49">
        <f>'001'!P11</f>
        <v>16</v>
      </c>
      <c r="Q11" s="49">
        <f>'001'!Q11</f>
        <v>17</v>
      </c>
      <c r="R11" s="49">
        <f>'001'!R11</f>
        <v>18</v>
      </c>
    </row>
    <row r="12" spans="1:18" s="74" customFormat="1" x14ac:dyDescent="0.2">
      <c r="A12" s="156" t="s">
        <v>0</v>
      </c>
      <c r="B12" s="48"/>
      <c r="C12" s="48"/>
      <c r="D12" s="48"/>
      <c r="E12" s="508" t="s">
        <v>578</v>
      </c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236"/>
    </row>
    <row r="13" spans="1:18" s="74" customFormat="1" ht="38.25" x14ac:dyDescent="0.2">
      <c r="A13" s="156" t="s">
        <v>0</v>
      </c>
      <c r="B13" s="162" t="s">
        <v>0</v>
      </c>
      <c r="C13" s="161"/>
      <c r="D13" s="161" t="s">
        <v>31</v>
      </c>
      <c r="E13" s="505" t="s">
        <v>943</v>
      </c>
      <c r="F13" s="505"/>
      <c r="G13" s="505"/>
      <c r="H13" s="505"/>
      <c r="I13" s="505"/>
      <c r="J13" s="161" t="s">
        <v>556</v>
      </c>
      <c r="K13" s="35" t="s">
        <v>577</v>
      </c>
      <c r="L13" s="35" t="s">
        <v>576</v>
      </c>
      <c r="M13" s="35" t="s">
        <v>11</v>
      </c>
      <c r="N13" s="286">
        <v>70</v>
      </c>
      <c r="O13" s="286">
        <v>70</v>
      </c>
      <c r="P13" s="286">
        <v>70</v>
      </c>
      <c r="Q13" s="163" t="s">
        <v>580</v>
      </c>
      <c r="R13" s="236"/>
    </row>
    <row r="14" spans="1:18" s="74" customFormat="1" ht="25.5" x14ac:dyDescent="0.2">
      <c r="A14" s="484" t="s">
        <v>0</v>
      </c>
      <c r="B14" s="500" t="s">
        <v>0</v>
      </c>
      <c r="C14" s="480" t="s">
        <v>0</v>
      </c>
      <c r="D14" s="480" t="s">
        <v>21</v>
      </c>
      <c r="E14" s="501" t="s">
        <v>575</v>
      </c>
      <c r="F14" s="501"/>
      <c r="G14" s="501"/>
      <c r="H14" s="501"/>
      <c r="I14" s="501"/>
      <c r="J14" s="480" t="s">
        <v>19</v>
      </c>
      <c r="K14" s="34" t="s">
        <v>574</v>
      </c>
      <c r="L14" s="34" t="s">
        <v>573</v>
      </c>
      <c r="M14" s="67" t="s">
        <v>12</v>
      </c>
      <c r="N14" s="287">
        <v>20</v>
      </c>
      <c r="O14" s="287">
        <v>20</v>
      </c>
      <c r="P14" s="287">
        <v>20</v>
      </c>
      <c r="Q14" s="159" t="s">
        <v>19</v>
      </c>
      <c r="R14" s="236"/>
    </row>
    <row r="15" spans="1:18" s="74" customFormat="1" ht="25.5" x14ac:dyDescent="0.2">
      <c r="A15" s="484"/>
      <c r="B15" s="500"/>
      <c r="C15" s="480"/>
      <c r="D15" s="480"/>
      <c r="E15" s="501"/>
      <c r="F15" s="501"/>
      <c r="G15" s="501"/>
      <c r="H15" s="501"/>
      <c r="I15" s="501"/>
      <c r="J15" s="480"/>
      <c r="K15" s="34" t="s">
        <v>572</v>
      </c>
      <c r="L15" s="34" t="s">
        <v>571</v>
      </c>
      <c r="M15" s="67" t="s">
        <v>12</v>
      </c>
      <c r="N15" s="287">
        <v>20</v>
      </c>
      <c r="O15" s="287">
        <v>20</v>
      </c>
      <c r="P15" s="287">
        <v>20</v>
      </c>
      <c r="Q15" s="159" t="s">
        <v>19</v>
      </c>
      <c r="R15" s="236"/>
    </row>
    <row r="16" spans="1:18" s="74" customFormat="1" ht="38.25" x14ac:dyDescent="0.2">
      <c r="A16" s="484"/>
      <c r="B16" s="500"/>
      <c r="C16" s="480"/>
      <c r="D16" s="480"/>
      <c r="E16" s="501"/>
      <c r="F16" s="501"/>
      <c r="G16" s="501"/>
      <c r="H16" s="501"/>
      <c r="I16" s="501"/>
      <c r="J16" s="480"/>
      <c r="K16" s="34" t="s">
        <v>570</v>
      </c>
      <c r="L16" s="34" t="s">
        <v>569</v>
      </c>
      <c r="M16" s="67" t="s">
        <v>12</v>
      </c>
      <c r="N16" s="287">
        <v>25</v>
      </c>
      <c r="O16" s="287">
        <v>25</v>
      </c>
      <c r="P16" s="287">
        <v>25</v>
      </c>
      <c r="Q16" s="159" t="s">
        <v>19</v>
      </c>
      <c r="R16" s="64"/>
    </row>
    <row r="17" spans="1:18" s="74" customFormat="1" ht="25.5" x14ac:dyDescent="0.2">
      <c r="A17" s="484"/>
      <c r="B17" s="500"/>
      <c r="C17" s="480"/>
      <c r="D17" s="480"/>
      <c r="E17" s="501"/>
      <c r="F17" s="501"/>
      <c r="G17" s="501"/>
      <c r="H17" s="501"/>
      <c r="I17" s="501"/>
      <c r="J17" s="480"/>
      <c r="K17" s="34" t="s">
        <v>568</v>
      </c>
      <c r="L17" s="34" t="s">
        <v>567</v>
      </c>
      <c r="M17" s="67" t="s">
        <v>566</v>
      </c>
      <c r="N17" s="287">
        <v>4</v>
      </c>
      <c r="O17" s="287">
        <v>4</v>
      </c>
      <c r="P17" s="287">
        <v>4</v>
      </c>
      <c r="Q17" s="159" t="s">
        <v>19</v>
      </c>
      <c r="R17" s="236"/>
    </row>
    <row r="18" spans="1:18" s="74" customFormat="1" ht="25.5" x14ac:dyDescent="0.2">
      <c r="A18" s="484"/>
      <c r="B18" s="500"/>
      <c r="C18" s="480"/>
      <c r="D18" s="480"/>
      <c r="E18" s="501"/>
      <c r="F18" s="501"/>
      <c r="G18" s="501"/>
      <c r="H18" s="501"/>
      <c r="I18" s="501"/>
      <c r="J18" s="480"/>
      <c r="K18" s="34" t="s">
        <v>565</v>
      </c>
      <c r="L18" s="34" t="s">
        <v>564</v>
      </c>
      <c r="M18" s="67" t="s">
        <v>563</v>
      </c>
      <c r="N18" s="287">
        <v>80</v>
      </c>
      <c r="O18" s="287">
        <v>80</v>
      </c>
      <c r="P18" s="287">
        <v>80</v>
      </c>
      <c r="Q18" s="159" t="s">
        <v>19</v>
      </c>
      <c r="R18" s="236"/>
    </row>
    <row r="19" spans="1:18" s="74" customFormat="1" ht="25.5" x14ac:dyDescent="0.2">
      <c r="A19" s="484"/>
      <c r="B19" s="500"/>
      <c r="C19" s="480"/>
      <c r="D19" s="480"/>
      <c r="E19" s="501"/>
      <c r="F19" s="501"/>
      <c r="G19" s="501"/>
      <c r="H19" s="501"/>
      <c r="I19" s="501"/>
      <c r="J19" s="480"/>
      <c r="K19" s="34" t="s">
        <v>562</v>
      </c>
      <c r="L19" s="34" t="s">
        <v>560</v>
      </c>
      <c r="M19" s="67" t="s">
        <v>12</v>
      </c>
      <c r="N19" s="287">
        <v>20</v>
      </c>
      <c r="O19" s="287">
        <v>20</v>
      </c>
      <c r="P19" s="287">
        <v>20</v>
      </c>
      <c r="Q19" s="159" t="s">
        <v>19</v>
      </c>
      <c r="R19" s="236"/>
    </row>
    <row r="20" spans="1:18" s="74" customFormat="1" ht="25.5" x14ac:dyDescent="0.2">
      <c r="A20" s="484"/>
      <c r="B20" s="500"/>
      <c r="C20" s="480"/>
      <c r="D20" s="480"/>
      <c r="E20" s="501"/>
      <c r="F20" s="501"/>
      <c r="G20" s="501"/>
      <c r="H20" s="501"/>
      <c r="I20" s="501"/>
      <c r="J20" s="480"/>
      <c r="K20" s="34" t="s">
        <v>561</v>
      </c>
      <c r="L20" s="34" t="s">
        <v>558</v>
      </c>
      <c r="M20" s="67" t="s">
        <v>12</v>
      </c>
      <c r="N20" s="287">
        <v>5</v>
      </c>
      <c r="O20" s="287">
        <v>5</v>
      </c>
      <c r="P20" s="287">
        <v>5</v>
      </c>
      <c r="Q20" s="159" t="s">
        <v>19</v>
      </c>
      <c r="R20" s="236"/>
    </row>
    <row r="21" spans="1:18" s="74" customFormat="1" x14ac:dyDescent="0.2">
      <c r="A21" s="484"/>
      <c r="B21" s="500"/>
      <c r="C21" s="480"/>
      <c r="D21" s="480"/>
      <c r="E21" s="501"/>
      <c r="F21" s="501"/>
      <c r="G21" s="501"/>
      <c r="H21" s="501"/>
      <c r="I21" s="501"/>
      <c r="J21" s="480"/>
      <c r="K21" s="34" t="s">
        <v>559</v>
      </c>
      <c r="L21" s="34" t="s">
        <v>557</v>
      </c>
      <c r="M21" s="67" t="s">
        <v>12</v>
      </c>
      <c r="N21" s="287">
        <v>50</v>
      </c>
      <c r="O21" s="287">
        <v>50</v>
      </c>
      <c r="P21" s="287">
        <v>50</v>
      </c>
      <c r="Q21" s="159" t="s">
        <v>19</v>
      </c>
      <c r="R21" s="236"/>
    </row>
    <row r="22" spans="1:18" s="74" customFormat="1" x14ac:dyDescent="0.2">
      <c r="A22" s="484"/>
      <c r="B22" s="500"/>
      <c r="C22" s="480"/>
      <c r="D22" s="480"/>
      <c r="E22" s="155" t="s">
        <v>269</v>
      </c>
      <c r="F22" s="107">
        <f>294.9+29.6</f>
        <v>324.5</v>
      </c>
      <c r="G22" s="32">
        <f>207+14.9</f>
        <v>221.9</v>
      </c>
      <c r="H22" s="106">
        <f>ROUND(G22*Lapas1!$B$4, 1)</f>
        <v>239.7</v>
      </c>
      <c r="I22" s="106">
        <f>ROUND(H22*Lapas1!$B$4, 1)</f>
        <v>258.89999999999998</v>
      </c>
      <c r="J22" s="27"/>
      <c r="K22" s="27"/>
      <c r="L22" s="44"/>
      <c r="M22" s="44"/>
      <c r="N22" s="25"/>
      <c r="O22" s="25"/>
      <c r="P22" s="240"/>
      <c r="Q22" s="240"/>
      <c r="R22" s="236"/>
    </row>
    <row r="23" spans="1:18" s="74" customFormat="1" x14ac:dyDescent="0.2">
      <c r="A23" s="484"/>
      <c r="B23" s="500"/>
      <c r="C23" s="480"/>
      <c r="D23" s="480"/>
      <c r="E23" s="30" t="s">
        <v>22</v>
      </c>
      <c r="F23" s="17">
        <f>SUM(F22)</f>
        <v>324.5</v>
      </c>
      <c r="G23" s="29">
        <f>SUM(G22)</f>
        <v>221.9</v>
      </c>
      <c r="H23" s="17">
        <f>SUM(H22)</f>
        <v>239.7</v>
      </c>
      <c r="I23" s="17">
        <f>SUM(I22)</f>
        <v>258.89999999999998</v>
      </c>
      <c r="J23" s="27"/>
      <c r="K23" s="27"/>
      <c r="L23" s="44"/>
      <c r="M23" s="44"/>
      <c r="N23" s="25"/>
      <c r="O23" s="25"/>
      <c r="P23" s="240"/>
      <c r="Q23" s="240"/>
      <c r="R23" s="43">
        <f>(G23-F23)/F23</f>
        <v>-0.31617873651771955</v>
      </c>
    </row>
    <row r="24" spans="1:18" s="74" customFormat="1" x14ac:dyDescent="0.2">
      <c r="A24" s="156" t="s">
        <v>0</v>
      </c>
      <c r="B24" s="162" t="s">
        <v>0</v>
      </c>
      <c r="C24" s="158"/>
      <c r="D24" s="158" t="s">
        <v>31</v>
      </c>
      <c r="E24" s="42" t="s">
        <v>275</v>
      </c>
      <c r="F24" s="40">
        <f>F23</f>
        <v>324.5</v>
      </c>
      <c r="G24" s="41">
        <f t="shared" ref="G24:I24" si="0">G23</f>
        <v>221.9</v>
      </c>
      <c r="H24" s="40">
        <f t="shared" si="0"/>
        <v>239.7</v>
      </c>
      <c r="I24" s="40">
        <f t="shared" si="0"/>
        <v>258.89999999999998</v>
      </c>
      <c r="J24" s="169"/>
      <c r="K24" s="94"/>
      <c r="L24" s="94"/>
      <c r="M24" s="94"/>
      <c r="N24" s="93"/>
      <c r="O24" s="93"/>
      <c r="P24" s="93"/>
      <c r="Q24" s="93"/>
      <c r="R24" s="236"/>
    </row>
    <row r="25" spans="1:18" s="74" customFormat="1" ht="26.25" customHeight="1" x14ac:dyDescent="0.2">
      <c r="A25" s="156" t="s">
        <v>0</v>
      </c>
      <c r="B25" s="164" t="s">
        <v>10</v>
      </c>
      <c r="C25" s="161"/>
      <c r="D25" s="161" t="s">
        <v>31</v>
      </c>
      <c r="E25" s="505" t="s">
        <v>555</v>
      </c>
      <c r="F25" s="505"/>
      <c r="G25" s="505"/>
      <c r="H25" s="505"/>
      <c r="I25" s="505"/>
      <c r="J25" s="162" t="s">
        <v>554</v>
      </c>
      <c r="K25" s="35" t="s">
        <v>553</v>
      </c>
      <c r="L25" s="35" t="s">
        <v>552</v>
      </c>
      <c r="M25" s="35" t="s">
        <v>11</v>
      </c>
      <c r="N25" s="286">
        <v>100</v>
      </c>
      <c r="O25" s="286">
        <v>100</v>
      </c>
      <c r="P25" s="286">
        <v>100</v>
      </c>
      <c r="Q25" s="163" t="s">
        <v>581</v>
      </c>
      <c r="R25" s="236"/>
    </row>
    <row r="26" spans="1:18" s="74" customFormat="1" ht="13.5" x14ac:dyDescent="0.2">
      <c r="A26" s="484" t="s">
        <v>0</v>
      </c>
      <c r="B26" s="485" t="s">
        <v>10</v>
      </c>
      <c r="C26" s="480" t="s">
        <v>0</v>
      </c>
      <c r="D26" s="480" t="s">
        <v>21</v>
      </c>
      <c r="E26" s="481" t="s">
        <v>551</v>
      </c>
      <c r="F26" s="481"/>
      <c r="G26" s="481"/>
      <c r="H26" s="481"/>
      <c r="I26" s="481"/>
      <c r="J26" s="284" t="s">
        <v>19</v>
      </c>
      <c r="K26" s="295" t="s">
        <v>550</v>
      </c>
      <c r="L26" s="296" t="s">
        <v>549</v>
      </c>
      <c r="M26" s="295" t="s">
        <v>548</v>
      </c>
      <c r="N26" s="297">
        <v>7000</v>
      </c>
      <c r="O26" s="297">
        <v>7000</v>
      </c>
      <c r="P26" s="297">
        <v>7000</v>
      </c>
      <c r="Q26" s="159" t="s">
        <v>19</v>
      </c>
      <c r="R26" s="236"/>
    </row>
    <row r="27" spans="1:18" s="74" customFormat="1" x14ac:dyDescent="0.2">
      <c r="A27" s="484"/>
      <c r="B27" s="485"/>
      <c r="C27" s="480"/>
      <c r="D27" s="480"/>
      <c r="E27" s="33" t="s">
        <v>14</v>
      </c>
      <c r="F27" s="107">
        <v>1809.2</v>
      </c>
      <c r="G27" s="32">
        <v>1400</v>
      </c>
      <c r="H27" s="106">
        <f>ROUND(G27*Lapas1!$B$1, 1)</f>
        <v>1512</v>
      </c>
      <c r="I27" s="106">
        <f>ROUND(H27*Lapas1!$B$1, 1)</f>
        <v>1633</v>
      </c>
      <c r="J27" s="27"/>
      <c r="K27" s="27"/>
      <c r="L27" s="44"/>
      <c r="M27" s="44"/>
      <c r="N27" s="25"/>
      <c r="O27" s="25"/>
      <c r="P27" s="240"/>
      <c r="Q27" s="240"/>
      <c r="R27" s="236"/>
    </row>
    <row r="28" spans="1:18" s="74" customFormat="1" x14ac:dyDescent="0.2">
      <c r="A28" s="484"/>
      <c r="B28" s="485"/>
      <c r="C28" s="480"/>
      <c r="D28" s="480"/>
      <c r="E28" s="33" t="s">
        <v>15</v>
      </c>
      <c r="F28" s="107">
        <f>9.334+8.266</f>
        <v>17.600000000000001</v>
      </c>
      <c r="G28" s="32"/>
      <c r="H28" s="31"/>
      <c r="I28" s="31"/>
      <c r="J28" s="27"/>
      <c r="K28" s="27"/>
      <c r="L28" s="44"/>
      <c r="M28" s="44"/>
      <c r="N28" s="25"/>
      <c r="O28" s="25"/>
      <c r="P28" s="240"/>
      <c r="Q28" s="240"/>
      <c r="R28" s="236"/>
    </row>
    <row r="29" spans="1:18" s="74" customFormat="1" x14ac:dyDescent="0.2">
      <c r="A29" s="484"/>
      <c r="B29" s="485"/>
      <c r="C29" s="480"/>
      <c r="D29" s="480"/>
      <c r="E29" s="30" t="s">
        <v>22</v>
      </c>
      <c r="F29" s="17">
        <f>SUM(F27:F28)</f>
        <v>1826.8</v>
      </c>
      <c r="G29" s="29">
        <f>SUM(G27:G28)</f>
        <v>1400</v>
      </c>
      <c r="H29" s="17">
        <f>SUM(H27:H28)</f>
        <v>1512</v>
      </c>
      <c r="I29" s="17">
        <f>SUM(I27:I28)</f>
        <v>1633</v>
      </c>
      <c r="J29" s="27"/>
      <c r="K29" s="27"/>
      <c r="L29" s="44"/>
      <c r="M29" s="44"/>
      <c r="N29" s="25"/>
      <c r="O29" s="25"/>
      <c r="P29" s="240"/>
      <c r="Q29" s="240"/>
      <c r="R29" s="43">
        <f>(G29-F29)/F29</f>
        <v>-0.23363258156338951</v>
      </c>
    </row>
    <row r="30" spans="1:18" s="74" customFormat="1" x14ac:dyDescent="0.2">
      <c r="A30" s="156" t="s">
        <v>0</v>
      </c>
      <c r="B30" s="164" t="s">
        <v>10</v>
      </c>
      <c r="C30" s="158"/>
      <c r="D30" s="158" t="s">
        <v>31</v>
      </c>
      <c r="E30" s="42" t="s">
        <v>275</v>
      </c>
      <c r="F30" s="40">
        <f>F29</f>
        <v>1826.8</v>
      </c>
      <c r="G30" s="41">
        <f>G29</f>
        <v>1400</v>
      </c>
      <c r="H30" s="40">
        <f>H29</f>
        <v>1512</v>
      </c>
      <c r="I30" s="40">
        <f>I29</f>
        <v>1633</v>
      </c>
      <c r="J30" s="169"/>
      <c r="K30" s="93"/>
      <c r="L30" s="93"/>
      <c r="M30" s="93"/>
      <c r="N30" s="93"/>
      <c r="O30" s="93"/>
      <c r="P30" s="93"/>
      <c r="Q30" s="93"/>
      <c r="R30" s="236"/>
    </row>
    <row r="31" spans="1:18" s="74" customFormat="1" x14ac:dyDescent="0.2">
      <c r="A31" s="242" t="s">
        <v>0</v>
      </c>
      <c r="B31" s="39"/>
      <c r="C31" s="39"/>
      <c r="D31" s="39"/>
      <c r="E31" s="38" t="s">
        <v>276</v>
      </c>
      <c r="F31" s="36">
        <f>F24+F30</f>
        <v>2151.3000000000002</v>
      </c>
      <c r="G31" s="37">
        <f>G24+G30</f>
        <v>1621.9</v>
      </c>
      <c r="H31" s="36">
        <f>H24+H30</f>
        <v>1751.7</v>
      </c>
      <c r="I31" s="36">
        <f>I24+I30</f>
        <v>1891.9</v>
      </c>
      <c r="J31" s="62"/>
      <c r="K31" s="243"/>
      <c r="L31" s="243"/>
      <c r="M31" s="243"/>
      <c r="N31" s="243"/>
      <c r="O31" s="243"/>
      <c r="P31" s="243"/>
      <c r="Q31" s="243"/>
      <c r="R31" s="236"/>
    </row>
    <row r="32" spans="1:18" s="74" customFormat="1" x14ac:dyDescent="0.2">
      <c r="A32" s="49"/>
      <c r="B32" s="49"/>
      <c r="C32" s="49"/>
      <c r="D32" s="49"/>
      <c r="E32" s="23" t="s">
        <v>277</v>
      </c>
      <c r="F32" s="21">
        <f>F31</f>
        <v>2151.3000000000002</v>
      </c>
      <c r="G32" s="22">
        <f>G31</f>
        <v>1621.9</v>
      </c>
      <c r="H32" s="21">
        <f>H31</f>
        <v>1751.7</v>
      </c>
      <c r="I32" s="21">
        <f>I31</f>
        <v>1891.9</v>
      </c>
      <c r="J32" s="152"/>
      <c r="K32" s="244"/>
      <c r="L32" s="244"/>
      <c r="M32" s="244"/>
      <c r="N32" s="244"/>
      <c r="O32" s="244"/>
      <c r="P32" s="244"/>
      <c r="Q32" s="244"/>
      <c r="R32" s="236"/>
    </row>
    <row r="33" spans="1:11" ht="39" customHeight="1" x14ac:dyDescent="0.2">
      <c r="A33" s="498" t="s">
        <v>876</v>
      </c>
      <c r="B33" s="498"/>
      <c r="C33" s="498"/>
      <c r="D33" s="498"/>
      <c r="E33" s="498"/>
      <c r="F33" s="498"/>
      <c r="G33" s="498"/>
      <c r="H33" s="498"/>
      <c r="I33" s="498"/>
      <c r="J33" s="498"/>
      <c r="K33" s="498"/>
    </row>
    <row r="34" spans="1:11" ht="27.75" customHeight="1" x14ac:dyDescent="0.2">
      <c r="A34" s="444" t="s">
        <v>881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44"/>
    </row>
    <row r="35" spans="1:11" x14ac:dyDescent="0.2">
      <c r="A35" s="20"/>
    </row>
    <row r="36" spans="1:11" x14ac:dyDescent="0.2">
      <c r="A36" s="503" t="s">
        <v>4</v>
      </c>
      <c r="B36" s="503"/>
      <c r="C36" s="503"/>
      <c r="D36" s="503"/>
      <c r="E36" s="503"/>
      <c r="F36" s="503"/>
      <c r="G36" s="503"/>
      <c r="H36" s="503"/>
      <c r="I36" s="503"/>
    </row>
    <row r="37" spans="1:11" ht="26.25" customHeight="1" x14ac:dyDescent="0.2">
      <c r="A37" s="427" t="s">
        <v>13</v>
      </c>
      <c r="B37" s="427"/>
      <c r="C37" s="427"/>
      <c r="D37" s="427"/>
      <c r="E37" s="75" t="s">
        <v>14</v>
      </c>
      <c r="F37" s="17">
        <f t="shared" ref="F37:I38" si="1">F27</f>
        <v>1809.2</v>
      </c>
      <c r="G37" s="29">
        <f t="shared" si="1"/>
        <v>1400</v>
      </c>
      <c r="H37" s="17">
        <f t="shared" si="1"/>
        <v>1512</v>
      </c>
      <c r="I37" s="17">
        <f t="shared" si="1"/>
        <v>1633</v>
      </c>
    </row>
    <row r="38" spans="1:11" ht="26.25" customHeight="1" x14ac:dyDescent="0.2">
      <c r="A38" s="427" t="s">
        <v>20</v>
      </c>
      <c r="B38" s="427"/>
      <c r="C38" s="427"/>
      <c r="D38" s="427"/>
      <c r="E38" s="75" t="s">
        <v>15</v>
      </c>
      <c r="F38" s="17">
        <f t="shared" si="1"/>
        <v>17.600000000000001</v>
      </c>
      <c r="G38" s="29">
        <f t="shared" si="1"/>
        <v>0</v>
      </c>
      <c r="H38" s="17">
        <f t="shared" si="1"/>
        <v>0</v>
      </c>
      <c r="I38" s="17">
        <f t="shared" si="1"/>
        <v>0</v>
      </c>
    </row>
    <row r="39" spans="1:11" ht="26.25" customHeight="1" x14ac:dyDescent="0.2">
      <c r="A39" s="427" t="s">
        <v>16</v>
      </c>
      <c r="B39" s="427"/>
      <c r="C39" s="427"/>
      <c r="D39" s="427"/>
      <c r="E39" s="75" t="s">
        <v>17</v>
      </c>
      <c r="F39" s="17"/>
      <c r="G39" s="414"/>
      <c r="H39" s="59"/>
      <c r="I39" s="59"/>
    </row>
    <row r="40" spans="1:11" ht="51" customHeight="1" x14ac:dyDescent="0.2">
      <c r="A40" s="427" t="s">
        <v>268</v>
      </c>
      <c r="B40" s="427"/>
      <c r="C40" s="427"/>
      <c r="D40" s="427"/>
      <c r="E40" s="75" t="s">
        <v>269</v>
      </c>
      <c r="F40" s="17">
        <f>F22</f>
        <v>324.5</v>
      </c>
      <c r="G40" s="29">
        <f t="shared" ref="G40:I40" si="2">G22</f>
        <v>221.9</v>
      </c>
      <c r="H40" s="17">
        <f t="shared" si="2"/>
        <v>239.7</v>
      </c>
      <c r="I40" s="17">
        <f t="shared" si="2"/>
        <v>258.89999999999998</v>
      </c>
    </row>
    <row r="41" spans="1:11" ht="26.25" customHeight="1" x14ac:dyDescent="0.2">
      <c r="A41" s="427" t="s">
        <v>267</v>
      </c>
      <c r="B41" s="427"/>
      <c r="C41" s="427"/>
      <c r="D41" s="427"/>
      <c r="E41" s="75" t="s">
        <v>18</v>
      </c>
      <c r="F41" s="65"/>
      <c r="G41" s="414"/>
      <c r="H41" s="59"/>
      <c r="I41" s="59"/>
    </row>
    <row r="42" spans="1:11" ht="26.25" customHeight="1" x14ac:dyDescent="0.2">
      <c r="A42" s="427" t="s">
        <v>179</v>
      </c>
      <c r="B42" s="427"/>
      <c r="C42" s="427"/>
      <c r="D42" s="427"/>
      <c r="E42" s="75" t="s">
        <v>170</v>
      </c>
      <c r="F42" s="65"/>
      <c r="G42" s="414"/>
      <c r="H42" s="59"/>
      <c r="I42" s="59"/>
    </row>
    <row r="43" spans="1:11" x14ac:dyDescent="0.2">
      <c r="A43" s="476" t="s">
        <v>3</v>
      </c>
      <c r="B43" s="476"/>
      <c r="C43" s="476"/>
      <c r="D43" s="476"/>
      <c r="E43" s="476"/>
      <c r="F43" s="53">
        <f>SUM(F37:F42)</f>
        <v>2151.3000000000002</v>
      </c>
      <c r="G43" s="54">
        <f>SUM(G37:G42)</f>
        <v>1621.9</v>
      </c>
      <c r="H43" s="53">
        <f>SUM(H37:H42)</f>
        <v>1751.7</v>
      </c>
      <c r="I43" s="53">
        <f>SUM(I37:I42)</f>
        <v>1891.9</v>
      </c>
    </row>
    <row r="44" spans="1:11" ht="25.5" customHeight="1" x14ac:dyDescent="0.2">
      <c r="A44" s="474" t="s">
        <v>7</v>
      </c>
      <c r="B44" s="474"/>
      <c r="C44" s="474"/>
      <c r="D44" s="474"/>
      <c r="E44" s="474"/>
      <c r="F44" s="16"/>
      <c r="G44" s="58"/>
      <c r="H44" s="16"/>
      <c r="I44" s="16"/>
    </row>
    <row r="45" spans="1:11" x14ac:dyDescent="0.2">
      <c r="A45" s="474" t="s">
        <v>5</v>
      </c>
      <c r="B45" s="474"/>
      <c r="C45" s="474"/>
      <c r="D45" s="474"/>
      <c r="E45" s="474"/>
      <c r="F45" s="16"/>
      <c r="G45" s="58"/>
      <c r="H45" s="16"/>
      <c r="I45" s="16"/>
    </row>
    <row r="46" spans="1:11" x14ac:dyDescent="0.2">
      <c r="A46" s="474" t="s">
        <v>6</v>
      </c>
      <c r="B46" s="474"/>
      <c r="C46" s="474"/>
      <c r="D46" s="474"/>
      <c r="E46" s="474"/>
      <c r="F46" s="16">
        <f>F23+F29</f>
        <v>2151.3000000000002</v>
      </c>
      <c r="G46" s="58">
        <f>G23+G29</f>
        <v>1621.9</v>
      </c>
      <c r="H46" s="16">
        <f>H23+H29</f>
        <v>1751.7</v>
      </c>
      <c r="I46" s="16">
        <f>I23+I29</f>
        <v>1891.9</v>
      </c>
    </row>
    <row r="47" spans="1:11" x14ac:dyDescent="0.2">
      <c r="F47" s="14"/>
      <c r="G47" s="15"/>
      <c r="H47" s="11"/>
      <c r="I47" s="11"/>
    </row>
    <row r="48" spans="1:11" hidden="1" x14ac:dyDescent="0.2">
      <c r="E48" s="9" t="s">
        <v>23</v>
      </c>
      <c r="F48" s="12">
        <f>F43-F32</f>
        <v>0</v>
      </c>
      <c r="G48" s="13">
        <f>G43-G32</f>
        <v>0</v>
      </c>
      <c r="H48" s="12">
        <f>H43-H32</f>
        <v>0</v>
      </c>
      <c r="I48" s="12">
        <f>I43-I32</f>
        <v>0</v>
      </c>
    </row>
    <row r="49" spans="6:9" hidden="1" x14ac:dyDescent="0.2">
      <c r="F49" s="56">
        <f>F45+F46-F32</f>
        <v>0</v>
      </c>
      <c r="G49" s="57">
        <f>G45+G46-G32</f>
        <v>0</v>
      </c>
      <c r="H49" s="56">
        <f>H45+H46-H32</f>
        <v>0</v>
      </c>
      <c r="I49" s="56">
        <f>I45+I46-I32</f>
        <v>0</v>
      </c>
    </row>
  </sheetData>
  <mergeCells count="41">
    <mergeCell ref="C14:C23"/>
    <mergeCell ref="D14:D23"/>
    <mergeCell ref="A8:P8"/>
    <mergeCell ref="E9:E10"/>
    <mergeCell ref="F9:F10"/>
    <mergeCell ref="H9:H10"/>
    <mergeCell ref="G9:G10"/>
    <mergeCell ref="I9:I10"/>
    <mergeCell ref="J9:J10"/>
    <mergeCell ref="A9:C9"/>
    <mergeCell ref="D9:D10"/>
    <mergeCell ref="A14:A23"/>
    <mergeCell ref="B14:B23"/>
    <mergeCell ref="R9:R10"/>
    <mergeCell ref="J14:J21"/>
    <mergeCell ref="Q9:Q10"/>
    <mergeCell ref="E12:Q12"/>
    <mergeCell ref="E13:I13"/>
    <mergeCell ref="E14:I21"/>
    <mergeCell ref="K9:K10"/>
    <mergeCell ref="L9:M9"/>
    <mergeCell ref="N9:P9"/>
    <mergeCell ref="A43:E43"/>
    <mergeCell ref="A44:E44"/>
    <mergeCell ref="A45:E45"/>
    <mergeCell ref="A46:E46"/>
    <mergeCell ref="B26:B29"/>
    <mergeCell ref="A39:D39"/>
    <mergeCell ref="A40:D40"/>
    <mergeCell ref="A41:D41"/>
    <mergeCell ref="A42:D42"/>
    <mergeCell ref="A36:I36"/>
    <mergeCell ref="A26:A29"/>
    <mergeCell ref="C26:C29"/>
    <mergeCell ref="D26:D29"/>
    <mergeCell ref="A34:K34"/>
    <mergeCell ref="E25:I25"/>
    <mergeCell ref="E26:I26"/>
    <mergeCell ref="A37:D37"/>
    <mergeCell ref="A38:D38"/>
    <mergeCell ref="A33:K33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rowBreaks count="1" manualBreakCount="1">
    <brk id="35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zoomScaleNormal="100" workbookViewId="0">
      <pane ySplit="11" topLeftCell="A108" activePane="bottomLeft" state="frozen"/>
      <selection pane="bottomLeft" activeCell="J127" sqref="J127"/>
    </sheetView>
  </sheetViews>
  <sheetFormatPr defaultColWidth="9.140625" defaultRowHeight="12.75" x14ac:dyDescent="0.2"/>
  <cols>
    <col min="1" max="2" width="5.140625" style="11" customWidth="1"/>
    <col min="3" max="4" width="5.140625" style="9" customWidth="1"/>
    <col min="5" max="5" width="17.7109375" style="9" customWidth="1"/>
    <col min="6" max="6" width="13" style="9" customWidth="1"/>
    <col min="7" max="7" width="13" style="10" customWidth="1"/>
    <col min="8" max="9" width="13" style="9" customWidth="1"/>
    <col min="10" max="11" width="24.7109375" style="9" customWidth="1"/>
    <col min="12" max="12" width="49.7109375" style="9" customWidth="1"/>
    <col min="13" max="16" width="6.28515625" style="9" customWidth="1"/>
    <col min="17" max="17" width="32.7109375" style="9" customWidth="1"/>
    <col min="18" max="18" width="11.7109375" style="55" hidden="1" customWidth="1"/>
    <col min="19" max="16384" width="9.140625" style="9"/>
  </cols>
  <sheetData>
    <row r="1" spans="1:18" x14ac:dyDescent="0.2">
      <c r="L1" s="89"/>
      <c r="Q1" s="9" t="str">
        <f>'001'!Q1</f>
        <v>PATVIRTINTA</v>
      </c>
    </row>
    <row r="2" spans="1:18" x14ac:dyDescent="0.2">
      <c r="L2" s="89"/>
      <c r="Q2" s="9" t="str">
        <f>'001'!Q2</f>
        <v>Plungės rajono savivaldybės tarybos</v>
      </c>
    </row>
    <row r="3" spans="1:18" x14ac:dyDescent="0.2">
      <c r="J3" s="52"/>
      <c r="L3" s="88"/>
      <c r="Q3" s="9" t="str">
        <f>'001'!Q3</f>
        <v>2025 m. vasario 13 d. sprendimu Nr.T1-</v>
      </c>
    </row>
    <row r="4" spans="1:18" x14ac:dyDescent="0.2">
      <c r="L4" s="89"/>
      <c r="Q4" s="9" t="str">
        <f>'001'!Q4</f>
        <v xml:space="preserve">Plungės rajono savivaldybės </v>
      </c>
    </row>
    <row r="5" spans="1:18" x14ac:dyDescent="0.2">
      <c r="J5" s="52"/>
      <c r="L5" s="88"/>
      <c r="Q5" s="9" t="str">
        <f>'001'!Q5</f>
        <v>2025–2027 metų  strateginio veiklos plano</v>
      </c>
    </row>
    <row r="6" spans="1:18" x14ac:dyDescent="0.2">
      <c r="H6" s="87"/>
      <c r="J6" s="52"/>
      <c r="L6" s="88"/>
      <c r="Q6" s="9" t="s">
        <v>670</v>
      </c>
    </row>
    <row r="7" spans="1:18" x14ac:dyDescent="0.2">
      <c r="H7" s="87"/>
      <c r="I7" s="87"/>
    </row>
    <row r="8" spans="1:18" x14ac:dyDescent="0.2">
      <c r="A8" s="496" t="s">
        <v>1025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81" t="s">
        <v>284</v>
      </c>
      <c r="R8" s="66"/>
    </row>
    <row r="9" spans="1:18" ht="25.5" customHeight="1" x14ac:dyDescent="0.2">
      <c r="A9" s="448" t="str">
        <f>'001'!A9:R11</f>
        <v>Kodas</v>
      </c>
      <c r="B9" s="448"/>
      <c r="C9" s="448"/>
      <c r="D9" s="473" t="str">
        <f>'001'!D9:D10</f>
        <v>Uždavinio/ priemonės požymis *</v>
      </c>
      <c r="E9" s="448" t="str">
        <f>'001'!E9:E10</f>
        <v>Programos tikslo/uždavinio/priemonės pavadinimas ir finansavimo šaltiniai</v>
      </c>
      <c r="F9" s="448" t="str">
        <f>'001'!F9:F10</f>
        <v>2024-ųjų m. asignavimai ir kitos lėšos (2024-12-31 datai)</v>
      </c>
      <c r="G9" s="472" t="str">
        <f>'001'!G9:G10</f>
        <v>2025-ųjų m. asignavimai ir kitos lėšos</v>
      </c>
      <c r="H9" s="448" t="str">
        <f>'001'!H9:H10</f>
        <v>Planuojami   2026-ųjų m. asignavimai ir kitos lėšos</v>
      </c>
      <c r="I9" s="448" t="str">
        <f>'001'!I9:I10</f>
        <v>Planuojami  2027-ųjų m. asignavimai ir kitos lėšos</v>
      </c>
      <c r="J9" s="448" t="str">
        <f>'001'!J9:J10</f>
        <v>Savivaldybės strateginio plėtros plano tikslo/uždavinio kodas**</v>
      </c>
      <c r="K9" s="448" t="str">
        <f>'001'!K9:K10</f>
        <v>Stebėsenos rodiklio kodas</v>
      </c>
      <c r="L9" s="447" t="str">
        <f>'001'!L9:M9</f>
        <v>Stebėsenos rodiklio</v>
      </c>
      <c r="M9" s="447"/>
      <c r="N9" s="447" t="str">
        <f>'001'!N9:P9</f>
        <v>Siektinos stebėsenos rodiklių reikšmės</v>
      </c>
      <c r="O9" s="447"/>
      <c r="P9" s="447"/>
      <c r="Q9" s="447" t="str">
        <f>'001'!Q9:Q10</f>
        <v>Savivaldybės strateginio plėtros plano rodiklio kodas**</v>
      </c>
      <c r="R9" s="471" t="str">
        <f>'001'!R9:R10</f>
        <v>Asignavimų skirtumas (2024 m.- 2025 m.)</v>
      </c>
    </row>
    <row r="10" spans="1:18" ht="81.75" customHeight="1" x14ac:dyDescent="0.2">
      <c r="A10" s="71" t="str">
        <f>'001'!A10</f>
        <v>tikslo</v>
      </c>
      <c r="B10" s="71" t="str">
        <f>'001'!B10</f>
        <v>uždavinio</v>
      </c>
      <c r="C10" s="71" t="str">
        <f>'001'!C10</f>
        <v>priemonės</v>
      </c>
      <c r="D10" s="473"/>
      <c r="E10" s="448"/>
      <c r="F10" s="448"/>
      <c r="G10" s="472"/>
      <c r="H10" s="448"/>
      <c r="I10" s="448"/>
      <c r="J10" s="448"/>
      <c r="K10" s="448"/>
      <c r="L10" s="76" t="str">
        <f>'001'!L10</f>
        <v>pavadinimas</v>
      </c>
      <c r="M10" s="76" t="str">
        <f>'001'!M10</f>
        <v>mato vnt.</v>
      </c>
      <c r="N10" s="76">
        <f>'001'!N10</f>
        <v>2025</v>
      </c>
      <c r="O10" s="76">
        <f>'001'!O10</f>
        <v>2026</v>
      </c>
      <c r="P10" s="76">
        <f>'001'!P10</f>
        <v>2027</v>
      </c>
      <c r="Q10" s="447"/>
      <c r="R10" s="471"/>
    </row>
    <row r="11" spans="1:18" x14ac:dyDescent="0.2">
      <c r="A11" s="49">
        <f>'001'!A11</f>
        <v>1</v>
      </c>
      <c r="B11" s="49">
        <f>'001'!B11</f>
        <v>2</v>
      </c>
      <c r="C11" s="49">
        <f>'001'!C11</f>
        <v>3</v>
      </c>
      <c r="D11" s="49">
        <f>'001'!D11</f>
        <v>4</v>
      </c>
      <c r="E11" s="49">
        <f>'001'!E11</f>
        <v>5</v>
      </c>
      <c r="F11" s="49">
        <f>'001'!F11</f>
        <v>6</v>
      </c>
      <c r="G11" s="50">
        <f>'001'!G11</f>
        <v>7</v>
      </c>
      <c r="H11" s="49">
        <f>'001'!H11</f>
        <v>8</v>
      </c>
      <c r="I11" s="49">
        <f>'001'!I11</f>
        <v>9</v>
      </c>
      <c r="J11" s="49">
        <f>'001'!J11</f>
        <v>10</v>
      </c>
      <c r="K11" s="49">
        <f>'001'!K11</f>
        <v>11</v>
      </c>
      <c r="L11" s="49">
        <f>'001'!L11</f>
        <v>12</v>
      </c>
      <c r="M11" s="49">
        <f>'001'!M11</f>
        <v>13</v>
      </c>
      <c r="N11" s="49">
        <f>'001'!N11</f>
        <v>14</v>
      </c>
      <c r="O11" s="49">
        <f>'001'!O11</f>
        <v>15</v>
      </c>
      <c r="P11" s="49">
        <f>'001'!P11</f>
        <v>16</v>
      </c>
      <c r="Q11" s="49">
        <f>'001'!Q11</f>
        <v>17</v>
      </c>
      <c r="R11" s="49">
        <f>'001'!R11</f>
        <v>18</v>
      </c>
    </row>
    <row r="12" spans="1:18" s="74" customFormat="1" x14ac:dyDescent="0.2">
      <c r="A12" s="167" t="s">
        <v>0</v>
      </c>
      <c r="B12" s="80"/>
      <c r="C12" s="80"/>
      <c r="D12" s="80"/>
      <c r="E12" s="508" t="s">
        <v>669</v>
      </c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236"/>
    </row>
    <row r="13" spans="1:18" s="74" customFormat="1" ht="38.25" x14ac:dyDescent="0.2">
      <c r="A13" s="570" t="s">
        <v>0</v>
      </c>
      <c r="B13" s="579" t="s">
        <v>0</v>
      </c>
      <c r="C13" s="581"/>
      <c r="D13" s="581" t="s">
        <v>31</v>
      </c>
      <c r="E13" s="505" t="s">
        <v>668</v>
      </c>
      <c r="F13" s="505"/>
      <c r="G13" s="505"/>
      <c r="H13" s="505"/>
      <c r="I13" s="505"/>
      <c r="J13" s="504" t="s">
        <v>667</v>
      </c>
      <c r="K13" s="35" t="s">
        <v>666</v>
      </c>
      <c r="L13" s="35" t="s">
        <v>665</v>
      </c>
      <c r="M13" s="35" t="s">
        <v>11</v>
      </c>
      <c r="N13" s="310">
        <v>0.5</v>
      </c>
      <c r="O13" s="310">
        <v>0.5</v>
      </c>
      <c r="P13" s="310">
        <v>0.5</v>
      </c>
      <c r="Q13" s="509" t="s">
        <v>671</v>
      </c>
      <c r="R13" s="236"/>
    </row>
    <row r="14" spans="1:18" s="74" customFormat="1" ht="25.5" x14ac:dyDescent="0.2">
      <c r="A14" s="570"/>
      <c r="B14" s="579"/>
      <c r="C14" s="581"/>
      <c r="D14" s="581"/>
      <c r="E14" s="505"/>
      <c r="F14" s="505"/>
      <c r="G14" s="505"/>
      <c r="H14" s="505"/>
      <c r="I14" s="505"/>
      <c r="J14" s="504"/>
      <c r="K14" s="35" t="s">
        <v>664</v>
      </c>
      <c r="L14" s="35" t="s">
        <v>663</v>
      </c>
      <c r="M14" s="35" t="s">
        <v>11</v>
      </c>
      <c r="N14" s="310">
        <v>6</v>
      </c>
      <c r="O14" s="310">
        <v>6</v>
      </c>
      <c r="P14" s="310">
        <v>6</v>
      </c>
      <c r="Q14" s="509"/>
      <c r="R14" s="236"/>
    </row>
    <row r="15" spans="1:18" s="74" customFormat="1" ht="25.5" x14ac:dyDescent="0.2">
      <c r="A15" s="570" t="s">
        <v>0</v>
      </c>
      <c r="B15" s="571" t="s">
        <v>0</v>
      </c>
      <c r="C15" s="577" t="s">
        <v>0</v>
      </c>
      <c r="D15" s="577" t="s">
        <v>21</v>
      </c>
      <c r="E15" s="537" t="s">
        <v>913</v>
      </c>
      <c r="F15" s="537"/>
      <c r="G15" s="537"/>
      <c r="H15" s="537"/>
      <c r="I15" s="537"/>
      <c r="J15" s="486" t="s">
        <v>19</v>
      </c>
      <c r="K15" s="34" t="s">
        <v>662</v>
      </c>
      <c r="L15" s="67" t="s">
        <v>661</v>
      </c>
      <c r="M15" s="34" t="s">
        <v>35</v>
      </c>
      <c r="N15" s="224">
        <v>1</v>
      </c>
      <c r="O15" s="224">
        <v>1</v>
      </c>
      <c r="P15" s="224">
        <v>1</v>
      </c>
      <c r="Q15" s="159" t="s">
        <v>19</v>
      </c>
      <c r="R15" s="236"/>
    </row>
    <row r="16" spans="1:18" s="74" customFormat="1" ht="25.5" x14ac:dyDescent="0.2">
      <c r="A16" s="570"/>
      <c r="B16" s="571"/>
      <c r="C16" s="577"/>
      <c r="D16" s="577"/>
      <c r="E16" s="537"/>
      <c r="F16" s="537"/>
      <c r="G16" s="537"/>
      <c r="H16" s="537"/>
      <c r="I16" s="537"/>
      <c r="J16" s="486"/>
      <c r="K16" s="34" t="s">
        <v>660</v>
      </c>
      <c r="L16" s="67" t="s">
        <v>643</v>
      </c>
      <c r="M16" s="34" t="s">
        <v>12</v>
      </c>
      <c r="N16" s="224">
        <v>40</v>
      </c>
      <c r="O16" s="224">
        <v>42</v>
      </c>
      <c r="P16" s="224">
        <v>42</v>
      </c>
      <c r="Q16" s="159" t="s">
        <v>19</v>
      </c>
      <c r="R16" s="236"/>
    </row>
    <row r="17" spans="1:23" s="74" customFormat="1" ht="25.5" x14ac:dyDescent="0.2">
      <c r="A17" s="570"/>
      <c r="B17" s="571"/>
      <c r="C17" s="577"/>
      <c r="D17" s="577"/>
      <c r="E17" s="537"/>
      <c r="F17" s="537"/>
      <c r="G17" s="537"/>
      <c r="H17" s="537"/>
      <c r="I17" s="537"/>
      <c r="J17" s="486"/>
      <c r="K17" s="34" t="s">
        <v>659</v>
      </c>
      <c r="L17" s="67" t="s">
        <v>606</v>
      </c>
      <c r="M17" s="34" t="s">
        <v>12</v>
      </c>
      <c r="N17" s="224">
        <v>2</v>
      </c>
      <c r="O17" s="224">
        <v>3</v>
      </c>
      <c r="P17" s="224">
        <v>4</v>
      </c>
      <c r="Q17" s="159" t="s">
        <v>19</v>
      </c>
      <c r="R17" s="236"/>
    </row>
    <row r="18" spans="1:23" s="74" customFormat="1" x14ac:dyDescent="0.2">
      <c r="A18" s="570"/>
      <c r="B18" s="571"/>
      <c r="C18" s="577"/>
      <c r="D18" s="577"/>
      <c r="E18" s="537"/>
      <c r="F18" s="537"/>
      <c r="G18" s="537"/>
      <c r="H18" s="537"/>
      <c r="I18" s="537"/>
      <c r="J18" s="486"/>
      <c r="K18" s="34" t="s">
        <v>658</v>
      </c>
      <c r="L18" s="67" t="s">
        <v>640</v>
      </c>
      <c r="M18" s="34" t="s">
        <v>12</v>
      </c>
      <c r="N18" s="224">
        <v>20</v>
      </c>
      <c r="O18" s="224">
        <v>20</v>
      </c>
      <c r="P18" s="224">
        <v>20</v>
      </c>
      <c r="Q18" s="159" t="s">
        <v>19</v>
      </c>
      <c r="R18" s="236"/>
    </row>
    <row r="19" spans="1:23" s="74" customFormat="1" x14ac:dyDescent="0.2">
      <c r="A19" s="570"/>
      <c r="B19" s="571"/>
      <c r="C19" s="577"/>
      <c r="D19" s="577"/>
      <c r="E19" s="33" t="s">
        <v>14</v>
      </c>
      <c r="F19" s="106">
        <v>887.1</v>
      </c>
      <c r="G19" s="106">
        <v>906</v>
      </c>
      <c r="H19" s="106">
        <f>ROUND(G19*Lapas1!$B$1, 1)</f>
        <v>978.5</v>
      </c>
      <c r="I19" s="106">
        <f>ROUND(H19*Lapas1!$B$1, 1)</f>
        <v>1056.8</v>
      </c>
      <c r="J19" s="27"/>
      <c r="K19" s="27"/>
      <c r="L19" s="44"/>
      <c r="M19" s="44"/>
      <c r="N19" s="25"/>
      <c r="O19" s="25"/>
      <c r="P19" s="240"/>
      <c r="Q19" s="240"/>
      <c r="R19" s="236"/>
    </row>
    <row r="20" spans="1:23" s="74" customFormat="1" x14ac:dyDescent="0.2">
      <c r="A20" s="570"/>
      <c r="B20" s="571"/>
      <c r="C20" s="577"/>
      <c r="D20" s="577"/>
      <c r="E20" s="33" t="s">
        <v>17</v>
      </c>
      <c r="F20" s="106">
        <v>147</v>
      </c>
      <c r="G20" s="106">
        <f>105+7</f>
        <v>112</v>
      </c>
      <c r="H20" s="106">
        <f>ROUND(G20*Lapas1!$B$3, 1)</f>
        <v>121</v>
      </c>
      <c r="I20" s="106">
        <f>ROUND(H20*Lapas1!$B$3, 1)</f>
        <v>130.69999999999999</v>
      </c>
      <c r="J20" s="27"/>
      <c r="K20" s="27"/>
      <c r="L20" s="44"/>
      <c r="M20" s="44"/>
      <c r="N20" s="25"/>
      <c r="O20" s="25"/>
      <c r="P20" s="240"/>
      <c r="Q20" s="240"/>
      <c r="R20" s="236"/>
      <c r="T20" s="246"/>
      <c r="U20" s="246"/>
      <c r="V20" s="246"/>
      <c r="W20" s="246"/>
    </row>
    <row r="21" spans="1:23" s="74" customFormat="1" x14ac:dyDescent="0.2">
      <c r="A21" s="570"/>
      <c r="B21" s="571"/>
      <c r="C21" s="577"/>
      <c r="D21" s="577"/>
      <c r="E21" s="30" t="s">
        <v>22</v>
      </c>
      <c r="F21" s="17">
        <f>SUM(F19:F20)</f>
        <v>1034.0999999999999</v>
      </c>
      <c r="G21" s="29">
        <f>SUM(G19:G20)</f>
        <v>1018</v>
      </c>
      <c r="H21" s="17">
        <f>SUM(H19:H20)</f>
        <v>1099.5</v>
      </c>
      <c r="I21" s="17">
        <f>SUM(I19:I20)</f>
        <v>1187.5</v>
      </c>
      <c r="J21" s="27"/>
      <c r="K21" s="27"/>
      <c r="L21" s="44"/>
      <c r="M21" s="44"/>
      <c r="N21" s="25"/>
      <c r="O21" s="25"/>
      <c r="P21" s="240"/>
      <c r="Q21" s="240"/>
      <c r="R21" s="43">
        <f>(G21-F21)/F21</f>
        <v>-1.5569093898075535E-2</v>
      </c>
    </row>
    <row r="22" spans="1:23" s="74" customFormat="1" ht="25.5" x14ac:dyDescent="0.2">
      <c r="A22" s="570" t="s">
        <v>0</v>
      </c>
      <c r="B22" s="571" t="s">
        <v>0</v>
      </c>
      <c r="C22" s="578" t="s">
        <v>10</v>
      </c>
      <c r="D22" s="578" t="s">
        <v>21</v>
      </c>
      <c r="E22" s="501" t="s">
        <v>657</v>
      </c>
      <c r="F22" s="501"/>
      <c r="G22" s="501"/>
      <c r="H22" s="501"/>
      <c r="I22" s="501"/>
      <c r="J22" s="486" t="s">
        <v>19</v>
      </c>
      <c r="K22" s="34" t="s">
        <v>656</v>
      </c>
      <c r="L22" s="67" t="s">
        <v>643</v>
      </c>
      <c r="M22" s="34" t="s">
        <v>12</v>
      </c>
      <c r="N22" s="221">
        <v>3</v>
      </c>
      <c r="O22" s="221">
        <v>3</v>
      </c>
      <c r="P22" s="221">
        <v>3</v>
      </c>
      <c r="Q22" s="159" t="s">
        <v>19</v>
      </c>
      <c r="R22" s="236"/>
      <c r="S22" s="246"/>
    </row>
    <row r="23" spans="1:23" s="74" customFormat="1" ht="25.5" x14ac:dyDescent="0.2">
      <c r="A23" s="570"/>
      <c r="B23" s="571"/>
      <c r="C23" s="578"/>
      <c r="D23" s="578"/>
      <c r="E23" s="501"/>
      <c r="F23" s="501"/>
      <c r="G23" s="501"/>
      <c r="H23" s="501"/>
      <c r="I23" s="501"/>
      <c r="J23" s="486"/>
      <c r="K23" s="72" t="s">
        <v>655</v>
      </c>
      <c r="L23" s="63" t="s">
        <v>606</v>
      </c>
      <c r="M23" s="72" t="s">
        <v>12</v>
      </c>
      <c r="N23" s="313">
        <v>0</v>
      </c>
      <c r="O23" s="313">
        <v>1</v>
      </c>
      <c r="P23" s="313">
        <v>1</v>
      </c>
      <c r="Q23" s="159" t="s">
        <v>19</v>
      </c>
      <c r="R23" s="236"/>
    </row>
    <row r="24" spans="1:23" s="74" customFormat="1" x14ac:dyDescent="0.2">
      <c r="A24" s="570"/>
      <c r="B24" s="571"/>
      <c r="C24" s="578"/>
      <c r="D24" s="578"/>
      <c r="E24" s="501"/>
      <c r="F24" s="501"/>
      <c r="G24" s="501"/>
      <c r="H24" s="501"/>
      <c r="I24" s="501"/>
      <c r="J24" s="486"/>
      <c r="K24" s="34" t="s">
        <v>654</v>
      </c>
      <c r="L24" s="67" t="s">
        <v>640</v>
      </c>
      <c r="M24" s="34" t="s">
        <v>12</v>
      </c>
      <c r="N24" s="221">
        <v>9</v>
      </c>
      <c r="O24" s="221">
        <v>10</v>
      </c>
      <c r="P24" s="221">
        <v>10</v>
      </c>
      <c r="Q24" s="159" t="s">
        <v>19</v>
      </c>
      <c r="R24" s="236"/>
    </row>
    <row r="25" spans="1:23" s="74" customFormat="1" x14ac:dyDescent="0.2">
      <c r="A25" s="570"/>
      <c r="B25" s="571"/>
      <c r="C25" s="578"/>
      <c r="D25" s="578"/>
      <c r="E25" s="33" t="s">
        <v>14</v>
      </c>
      <c r="F25" s="86">
        <v>147.30000000000001</v>
      </c>
      <c r="G25" s="415">
        <v>172.3</v>
      </c>
      <c r="H25" s="106">
        <f>ROUND(G25*Lapas1!$B$1, 1)</f>
        <v>186.1</v>
      </c>
      <c r="I25" s="106">
        <f>ROUND(H25*Lapas1!$B$1, 1)</f>
        <v>201</v>
      </c>
      <c r="J25" s="27"/>
      <c r="K25" s="27"/>
      <c r="L25" s="44"/>
      <c r="M25" s="44"/>
      <c r="N25" s="25"/>
      <c r="O25" s="25"/>
      <c r="P25" s="240"/>
      <c r="Q25" s="240"/>
      <c r="R25" s="236"/>
    </row>
    <row r="26" spans="1:23" s="74" customFormat="1" x14ac:dyDescent="0.2">
      <c r="A26" s="570"/>
      <c r="B26" s="571"/>
      <c r="C26" s="578"/>
      <c r="D26" s="578"/>
      <c r="E26" s="33" t="s">
        <v>17</v>
      </c>
      <c r="F26" s="106">
        <v>1.3</v>
      </c>
      <c r="G26" s="416">
        <v>0.8</v>
      </c>
      <c r="H26" s="106">
        <f>ROUND(G26*Lapas1!$B$3, 1)</f>
        <v>0.9</v>
      </c>
      <c r="I26" s="106">
        <f>ROUND(H26*Lapas1!$B$3, 1)</f>
        <v>1</v>
      </c>
      <c r="J26" s="27"/>
      <c r="K26" s="27"/>
      <c r="L26" s="44"/>
      <c r="M26" s="44"/>
      <c r="N26" s="25"/>
      <c r="O26" s="25"/>
      <c r="P26" s="240"/>
      <c r="Q26" s="240"/>
      <c r="R26" s="236"/>
    </row>
    <row r="27" spans="1:23" s="74" customFormat="1" x14ac:dyDescent="0.2">
      <c r="A27" s="570"/>
      <c r="B27" s="571"/>
      <c r="C27" s="578"/>
      <c r="D27" s="578"/>
      <c r="E27" s="30" t="s">
        <v>22</v>
      </c>
      <c r="F27" s="17">
        <f>SUM(F25:F26)</f>
        <v>148.60000000000002</v>
      </c>
      <c r="G27" s="29">
        <f>SUM(G25:G26)</f>
        <v>173.10000000000002</v>
      </c>
      <c r="H27" s="17">
        <f>SUM(H25:H26)</f>
        <v>187</v>
      </c>
      <c r="I27" s="17">
        <f>SUM(I25:I26)</f>
        <v>202</v>
      </c>
      <c r="J27" s="27"/>
      <c r="K27" s="27"/>
      <c r="L27" s="44"/>
      <c r="M27" s="44"/>
      <c r="N27" s="25"/>
      <c r="O27" s="25"/>
      <c r="P27" s="240"/>
      <c r="Q27" s="240"/>
      <c r="R27" s="43">
        <f>(G27-F27)/F27</f>
        <v>0.16487213997308209</v>
      </c>
    </row>
    <row r="28" spans="1:23" s="74" customFormat="1" ht="25.5" x14ac:dyDescent="0.2">
      <c r="A28" s="570" t="s">
        <v>0</v>
      </c>
      <c r="B28" s="571" t="s">
        <v>0</v>
      </c>
      <c r="C28" s="578" t="s">
        <v>24</v>
      </c>
      <c r="D28" s="578" t="s">
        <v>21</v>
      </c>
      <c r="E28" s="501" t="s">
        <v>653</v>
      </c>
      <c r="F28" s="501"/>
      <c r="G28" s="501"/>
      <c r="H28" s="501"/>
      <c r="I28" s="501"/>
      <c r="J28" s="486" t="s">
        <v>19</v>
      </c>
      <c r="K28" s="34" t="s">
        <v>652</v>
      </c>
      <c r="L28" s="67" t="s">
        <v>643</v>
      </c>
      <c r="M28" s="34" t="s">
        <v>12</v>
      </c>
      <c r="N28" s="311">
        <v>8</v>
      </c>
      <c r="O28" s="311">
        <v>8</v>
      </c>
      <c r="P28" s="311">
        <v>8</v>
      </c>
      <c r="Q28" s="159" t="s">
        <v>19</v>
      </c>
      <c r="R28" s="236"/>
      <c r="S28" s="246"/>
    </row>
    <row r="29" spans="1:23" s="74" customFormat="1" ht="25.5" x14ac:dyDescent="0.2">
      <c r="A29" s="570"/>
      <c r="B29" s="571"/>
      <c r="C29" s="578"/>
      <c r="D29" s="578"/>
      <c r="E29" s="501"/>
      <c r="F29" s="501"/>
      <c r="G29" s="501"/>
      <c r="H29" s="501"/>
      <c r="I29" s="501"/>
      <c r="J29" s="486"/>
      <c r="K29" s="34" t="s">
        <v>651</v>
      </c>
      <c r="L29" s="67" t="s">
        <v>606</v>
      </c>
      <c r="M29" s="34" t="s">
        <v>12</v>
      </c>
      <c r="N29" s="311">
        <v>1</v>
      </c>
      <c r="O29" s="311">
        <v>1</v>
      </c>
      <c r="P29" s="311">
        <v>1</v>
      </c>
      <c r="Q29" s="159" t="s">
        <v>19</v>
      </c>
      <c r="R29" s="236"/>
    </row>
    <row r="30" spans="1:23" s="74" customFormat="1" x14ac:dyDescent="0.2">
      <c r="A30" s="570"/>
      <c r="B30" s="571"/>
      <c r="C30" s="578"/>
      <c r="D30" s="578"/>
      <c r="E30" s="501"/>
      <c r="F30" s="501"/>
      <c r="G30" s="501"/>
      <c r="H30" s="501"/>
      <c r="I30" s="501"/>
      <c r="J30" s="486"/>
      <c r="K30" s="34" t="s">
        <v>650</v>
      </c>
      <c r="L30" s="67" t="s">
        <v>640</v>
      </c>
      <c r="M30" s="34" t="s">
        <v>12</v>
      </c>
      <c r="N30" s="311">
        <v>8</v>
      </c>
      <c r="O30" s="311">
        <v>8</v>
      </c>
      <c r="P30" s="311">
        <v>8</v>
      </c>
      <c r="Q30" s="159" t="s">
        <v>19</v>
      </c>
      <c r="R30" s="236"/>
    </row>
    <row r="31" spans="1:23" s="74" customFormat="1" x14ac:dyDescent="0.2">
      <c r="A31" s="570"/>
      <c r="B31" s="571"/>
      <c r="C31" s="578"/>
      <c r="D31" s="578"/>
      <c r="E31" s="33" t="s">
        <v>14</v>
      </c>
      <c r="F31" s="106">
        <v>142.80000000000001</v>
      </c>
      <c r="G31" s="32">
        <v>163.69999999999999</v>
      </c>
      <c r="H31" s="106">
        <f>ROUND(G31*Lapas1!$B$1, 1)</f>
        <v>176.8</v>
      </c>
      <c r="I31" s="106">
        <f>ROUND(H31*Lapas1!$B$1, 1)</f>
        <v>190.9</v>
      </c>
      <c r="J31" s="27"/>
      <c r="K31" s="27"/>
      <c r="L31" s="44"/>
      <c r="M31" s="44"/>
      <c r="N31" s="25"/>
      <c r="O31" s="25"/>
      <c r="P31" s="240"/>
      <c r="Q31" s="240"/>
      <c r="R31" s="236"/>
    </row>
    <row r="32" spans="1:23" s="74" customFormat="1" x14ac:dyDescent="0.2">
      <c r="A32" s="570"/>
      <c r="B32" s="571"/>
      <c r="C32" s="578"/>
      <c r="D32" s="578"/>
      <c r="E32" s="33" t="s">
        <v>17</v>
      </c>
      <c r="F32" s="106">
        <v>2.1</v>
      </c>
      <c r="G32" s="32">
        <v>2.4</v>
      </c>
      <c r="H32" s="106">
        <f>ROUND(G32*Lapas1!$B$3, 1)</f>
        <v>2.6</v>
      </c>
      <c r="I32" s="106">
        <f>ROUND(H32*Lapas1!$B$3, 1)</f>
        <v>2.8</v>
      </c>
      <c r="J32" s="27"/>
      <c r="K32" s="27"/>
      <c r="L32" s="44"/>
      <c r="M32" s="44"/>
      <c r="N32" s="25"/>
      <c r="O32" s="25"/>
      <c r="P32" s="240"/>
      <c r="Q32" s="240"/>
      <c r="R32" s="236"/>
    </row>
    <row r="33" spans="1:19" s="74" customFormat="1" x14ac:dyDescent="0.2">
      <c r="A33" s="570"/>
      <c r="B33" s="571"/>
      <c r="C33" s="578"/>
      <c r="D33" s="578"/>
      <c r="E33" s="30" t="s">
        <v>22</v>
      </c>
      <c r="F33" s="17">
        <f>SUM(F31:F32)</f>
        <v>144.9</v>
      </c>
      <c r="G33" s="29">
        <f>SUM(G31:G32)</f>
        <v>166.1</v>
      </c>
      <c r="H33" s="17">
        <f>SUM(H31:H32)</f>
        <v>179.4</v>
      </c>
      <c r="I33" s="17">
        <f>SUM(I31:I32)</f>
        <v>193.70000000000002</v>
      </c>
      <c r="J33" s="27"/>
      <c r="K33" s="27"/>
      <c r="L33" s="44"/>
      <c r="M33" s="44"/>
      <c r="N33" s="25"/>
      <c r="O33" s="25"/>
      <c r="P33" s="240"/>
      <c r="Q33" s="240"/>
      <c r="R33" s="43">
        <f>(G33-F33)/F33</f>
        <v>0.14630779848171144</v>
      </c>
    </row>
    <row r="34" spans="1:19" s="74" customFormat="1" ht="25.5" x14ac:dyDescent="0.2">
      <c r="A34" s="570" t="s">
        <v>0</v>
      </c>
      <c r="B34" s="571" t="s">
        <v>0</v>
      </c>
      <c r="C34" s="578" t="s">
        <v>25</v>
      </c>
      <c r="D34" s="578" t="s">
        <v>21</v>
      </c>
      <c r="E34" s="501" t="s">
        <v>649</v>
      </c>
      <c r="F34" s="501"/>
      <c r="G34" s="501"/>
      <c r="H34" s="501"/>
      <c r="I34" s="501"/>
      <c r="J34" s="486" t="s">
        <v>19</v>
      </c>
      <c r="K34" s="34" t="s">
        <v>648</v>
      </c>
      <c r="L34" s="67" t="s">
        <v>643</v>
      </c>
      <c r="M34" s="34" t="s">
        <v>12</v>
      </c>
      <c r="N34" s="311">
        <v>3</v>
      </c>
      <c r="O34" s="311">
        <v>4</v>
      </c>
      <c r="P34" s="311">
        <v>4</v>
      </c>
      <c r="Q34" s="159" t="s">
        <v>19</v>
      </c>
      <c r="R34" s="236"/>
      <c r="S34" s="246"/>
    </row>
    <row r="35" spans="1:19" s="74" customFormat="1" ht="25.5" x14ac:dyDescent="0.2">
      <c r="A35" s="570"/>
      <c r="B35" s="571"/>
      <c r="C35" s="578"/>
      <c r="D35" s="578"/>
      <c r="E35" s="501"/>
      <c r="F35" s="501"/>
      <c r="G35" s="501"/>
      <c r="H35" s="501"/>
      <c r="I35" s="501"/>
      <c r="J35" s="486"/>
      <c r="K35" s="34" t="s">
        <v>647</v>
      </c>
      <c r="L35" s="67" t="s">
        <v>606</v>
      </c>
      <c r="M35" s="34" t="s">
        <v>12</v>
      </c>
      <c r="N35" s="311">
        <v>2</v>
      </c>
      <c r="O35" s="311">
        <v>3</v>
      </c>
      <c r="P35" s="311">
        <v>3</v>
      </c>
      <c r="Q35" s="159" t="s">
        <v>19</v>
      </c>
      <c r="R35" s="236"/>
    </row>
    <row r="36" spans="1:19" s="74" customFormat="1" x14ac:dyDescent="0.2">
      <c r="A36" s="570"/>
      <c r="B36" s="571"/>
      <c r="C36" s="578"/>
      <c r="D36" s="578"/>
      <c r="E36" s="501"/>
      <c r="F36" s="501"/>
      <c r="G36" s="501"/>
      <c r="H36" s="501"/>
      <c r="I36" s="501"/>
      <c r="J36" s="486"/>
      <c r="K36" s="34" t="s">
        <v>646</v>
      </c>
      <c r="L36" s="67" t="s">
        <v>640</v>
      </c>
      <c r="M36" s="34" t="s">
        <v>12</v>
      </c>
      <c r="N36" s="311">
        <v>18</v>
      </c>
      <c r="O36" s="311">
        <v>19</v>
      </c>
      <c r="P36" s="311">
        <v>19</v>
      </c>
      <c r="Q36" s="159" t="s">
        <v>19</v>
      </c>
      <c r="R36" s="236"/>
    </row>
    <row r="37" spans="1:19" s="74" customFormat="1" x14ac:dyDescent="0.2">
      <c r="A37" s="570"/>
      <c r="B37" s="571"/>
      <c r="C37" s="578"/>
      <c r="D37" s="578"/>
      <c r="E37" s="33" t="s">
        <v>14</v>
      </c>
      <c r="F37" s="106">
        <v>202.7</v>
      </c>
      <c r="G37" s="32">
        <v>242.9</v>
      </c>
      <c r="H37" s="106">
        <f>ROUND(G37*Lapas1!$B$1, 1)</f>
        <v>262.3</v>
      </c>
      <c r="I37" s="106">
        <f>ROUND(H37*Lapas1!$B$1, 1)</f>
        <v>283.3</v>
      </c>
      <c r="J37" s="27"/>
      <c r="K37" s="27"/>
      <c r="L37" s="44"/>
      <c r="M37" s="44"/>
      <c r="N37" s="25"/>
      <c r="O37" s="25"/>
      <c r="P37" s="240"/>
      <c r="Q37" s="240"/>
      <c r="R37" s="236"/>
    </row>
    <row r="38" spans="1:19" s="74" customFormat="1" x14ac:dyDescent="0.2">
      <c r="A38" s="570"/>
      <c r="B38" s="571"/>
      <c r="C38" s="578"/>
      <c r="D38" s="578"/>
      <c r="E38" s="33" t="s">
        <v>17</v>
      </c>
      <c r="F38" s="106">
        <v>6</v>
      </c>
      <c r="G38" s="32">
        <v>6.3</v>
      </c>
      <c r="H38" s="106">
        <f>ROUND(G38*Lapas1!$B$3, 1)</f>
        <v>6.8</v>
      </c>
      <c r="I38" s="106">
        <f>ROUND(H38*Lapas1!$B$3, 1)</f>
        <v>7.3</v>
      </c>
      <c r="J38" s="27"/>
      <c r="K38" s="27"/>
      <c r="L38" s="44"/>
      <c r="M38" s="44"/>
      <c r="N38" s="25"/>
      <c r="O38" s="25"/>
      <c r="P38" s="240"/>
      <c r="Q38" s="240"/>
      <c r="R38" s="236"/>
    </row>
    <row r="39" spans="1:19" s="74" customFormat="1" x14ac:dyDescent="0.2">
      <c r="A39" s="570"/>
      <c r="B39" s="571"/>
      <c r="C39" s="578"/>
      <c r="D39" s="578"/>
      <c r="E39" s="30" t="s">
        <v>22</v>
      </c>
      <c r="F39" s="17">
        <f>SUM(F37:F38)</f>
        <v>208.7</v>
      </c>
      <c r="G39" s="29">
        <f>SUM(G37:G38)</f>
        <v>249.20000000000002</v>
      </c>
      <c r="H39" s="17">
        <f>SUM(H37:H38)</f>
        <v>269.10000000000002</v>
      </c>
      <c r="I39" s="17">
        <f>SUM(I37:I38)</f>
        <v>290.60000000000002</v>
      </c>
      <c r="J39" s="27"/>
      <c r="K39" s="27"/>
      <c r="L39" s="44"/>
      <c r="M39" s="44"/>
      <c r="N39" s="25"/>
      <c r="O39" s="25"/>
      <c r="P39" s="240"/>
      <c r="Q39" s="240"/>
      <c r="R39" s="43">
        <f>(G39-F39)/F39</f>
        <v>0.1940584571154769</v>
      </c>
    </row>
    <row r="40" spans="1:19" s="74" customFormat="1" ht="25.5" x14ac:dyDescent="0.2">
      <c r="A40" s="570" t="s">
        <v>0</v>
      </c>
      <c r="B40" s="571" t="s">
        <v>0</v>
      </c>
      <c r="C40" s="578" t="s">
        <v>26</v>
      </c>
      <c r="D40" s="578" t="s">
        <v>21</v>
      </c>
      <c r="E40" s="501" t="s">
        <v>645</v>
      </c>
      <c r="F40" s="501"/>
      <c r="G40" s="501"/>
      <c r="H40" s="501"/>
      <c r="I40" s="501"/>
      <c r="J40" s="486" t="s">
        <v>19</v>
      </c>
      <c r="K40" s="34" t="s">
        <v>644</v>
      </c>
      <c r="L40" s="67" t="s">
        <v>643</v>
      </c>
      <c r="M40" s="34" t="s">
        <v>12</v>
      </c>
      <c r="N40" s="311">
        <v>5</v>
      </c>
      <c r="O40" s="311">
        <v>6</v>
      </c>
      <c r="P40" s="311">
        <v>7</v>
      </c>
      <c r="Q40" s="159" t="s">
        <v>19</v>
      </c>
      <c r="R40" s="236"/>
    </row>
    <row r="41" spans="1:19" s="74" customFormat="1" ht="25.5" x14ac:dyDescent="0.2">
      <c r="A41" s="570"/>
      <c r="B41" s="571"/>
      <c r="C41" s="578"/>
      <c r="D41" s="578"/>
      <c r="E41" s="501"/>
      <c r="F41" s="501"/>
      <c r="G41" s="501"/>
      <c r="H41" s="501"/>
      <c r="I41" s="501"/>
      <c r="J41" s="486"/>
      <c r="K41" s="34" t="s">
        <v>642</v>
      </c>
      <c r="L41" s="67" t="s">
        <v>606</v>
      </c>
      <c r="M41" s="34" t="s">
        <v>12</v>
      </c>
      <c r="N41" s="311">
        <v>1</v>
      </c>
      <c r="O41" s="311">
        <v>1</v>
      </c>
      <c r="P41" s="311">
        <v>2</v>
      </c>
      <c r="Q41" s="159" t="s">
        <v>19</v>
      </c>
      <c r="R41" s="236"/>
    </row>
    <row r="42" spans="1:19" s="74" customFormat="1" x14ac:dyDescent="0.2">
      <c r="A42" s="570"/>
      <c r="B42" s="571"/>
      <c r="C42" s="578"/>
      <c r="D42" s="578"/>
      <c r="E42" s="501"/>
      <c r="F42" s="501"/>
      <c r="G42" s="501"/>
      <c r="H42" s="501"/>
      <c r="I42" s="501"/>
      <c r="J42" s="486"/>
      <c r="K42" s="34" t="s">
        <v>641</v>
      </c>
      <c r="L42" s="67" t="s">
        <v>640</v>
      </c>
      <c r="M42" s="34" t="s">
        <v>12</v>
      </c>
      <c r="N42" s="311">
        <v>10</v>
      </c>
      <c r="O42" s="311">
        <v>10</v>
      </c>
      <c r="P42" s="311">
        <v>11</v>
      </c>
      <c r="Q42" s="159" t="s">
        <v>19</v>
      </c>
      <c r="R42" s="236"/>
    </row>
    <row r="43" spans="1:19" s="74" customFormat="1" x14ac:dyDescent="0.2">
      <c r="A43" s="570"/>
      <c r="B43" s="571"/>
      <c r="C43" s="578"/>
      <c r="D43" s="578"/>
      <c r="E43" s="33" t="s">
        <v>14</v>
      </c>
      <c r="F43" s="106">
        <v>214.4</v>
      </c>
      <c r="G43" s="32">
        <v>235.1</v>
      </c>
      <c r="H43" s="106">
        <f>ROUND(G43*Lapas1!$B$1, 1)</f>
        <v>253.9</v>
      </c>
      <c r="I43" s="106">
        <f>ROUND(H43*Lapas1!$B$1, 1)</f>
        <v>274.2</v>
      </c>
      <c r="J43" s="27"/>
      <c r="K43" s="27"/>
      <c r="L43" s="44"/>
      <c r="M43" s="44"/>
      <c r="N43" s="25"/>
      <c r="O43" s="25"/>
      <c r="P43" s="240"/>
      <c r="Q43" s="240"/>
      <c r="R43" s="236"/>
    </row>
    <row r="44" spans="1:19" s="74" customFormat="1" x14ac:dyDescent="0.2">
      <c r="A44" s="570"/>
      <c r="B44" s="571"/>
      <c r="C44" s="578"/>
      <c r="D44" s="578"/>
      <c r="E44" s="33" t="s">
        <v>17</v>
      </c>
      <c r="F44" s="106">
        <v>6.5</v>
      </c>
      <c r="G44" s="32">
        <v>2</v>
      </c>
      <c r="H44" s="106">
        <f>ROUND(G44*Lapas1!$B$3, 1)</f>
        <v>2.2000000000000002</v>
      </c>
      <c r="I44" s="106">
        <f>ROUND(H44*Lapas1!$B$3, 1)</f>
        <v>2.4</v>
      </c>
      <c r="J44" s="27"/>
      <c r="K44" s="27"/>
      <c r="L44" s="44"/>
      <c r="M44" s="44"/>
      <c r="N44" s="25"/>
      <c r="O44" s="25"/>
      <c r="P44" s="240"/>
      <c r="Q44" s="240"/>
      <c r="R44" s="236"/>
    </row>
    <row r="45" spans="1:19" s="74" customFormat="1" x14ac:dyDescent="0.2">
      <c r="A45" s="570"/>
      <c r="B45" s="571"/>
      <c r="C45" s="578"/>
      <c r="D45" s="578"/>
      <c r="E45" s="30" t="s">
        <v>22</v>
      </c>
      <c r="F45" s="17">
        <f>SUM(F43:F44)</f>
        <v>220.9</v>
      </c>
      <c r="G45" s="29">
        <f>SUM(G43:G44)</f>
        <v>237.1</v>
      </c>
      <c r="H45" s="17">
        <f>SUM(H43:H44)</f>
        <v>256.10000000000002</v>
      </c>
      <c r="I45" s="17">
        <f>SUM(I43:I44)</f>
        <v>276.59999999999997</v>
      </c>
      <c r="J45" s="27"/>
      <c r="K45" s="27"/>
      <c r="L45" s="44"/>
      <c r="M45" s="44"/>
      <c r="N45" s="25"/>
      <c r="O45" s="25"/>
      <c r="P45" s="240"/>
      <c r="Q45" s="240"/>
      <c r="R45" s="43">
        <f>(G45-F45)/F45</f>
        <v>7.3336351290176502E-2</v>
      </c>
    </row>
    <row r="46" spans="1:19" s="74" customFormat="1" x14ac:dyDescent="0.2">
      <c r="A46" s="167" t="s">
        <v>0</v>
      </c>
      <c r="B46" s="169" t="s">
        <v>0</v>
      </c>
      <c r="C46" s="79"/>
      <c r="D46" s="79" t="s">
        <v>31</v>
      </c>
      <c r="E46" s="42" t="s">
        <v>2</v>
      </c>
      <c r="F46" s="40">
        <f>F21+F27+F33+F39+F45</f>
        <v>1757.2</v>
      </c>
      <c r="G46" s="41">
        <f t="shared" ref="G46:I46" si="0">G21+G27+G33+G39+G45</f>
        <v>1843.4999999999998</v>
      </c>
      <c r="H46" s="40">
        <f t="shared" si="0"/>
        <v>1991.1</v>
      </c>
      <c r="I46" s="40">
        <f t="shared" si="0"/>
        <v>2150.4</v>
      </c>
      <c r="J46" s="169"/>
      <c r="K46" s="93"/>
      <c r="L46" s="93"/>
      <c r="M46" s="93"/>
      <c r="N46" s="93"/>
      <c r="O46" s="93"/>
      <c r="P46" s="93"/>
      <c r="Q46" s="93"/>
      <c r="R46" s="236"/>
    </row>
    <row r="47" spans="1:19" s="74" customFormat="1" x14ac:dyDescent="0.2">
      <c r="A47" s="247" t="s">
        <v>0</v>
      </c>
      <c r="B47" s="62"/>
      <c r="C47" s="62"/>
      <c r="D47" s="62"/>
      <c r="E47" s="38" t="s">
        <v>582</v>
      </c>
      <c r="F47" s="36">
        <f>F46</f>
        <v>1757.2</v>
      </c>
      <c r="G47" s="37">
        <f>G46</f>
        <v>1843.4999999999998</v>
      </c>
      <c r="H47" s="36">
        <f>H46</f>
        <v>1991.1</v>
      </c>
      <c r="I47" s="36">
        <f>I46</f>
        <v>2150.4</v>
      </c>
      <c r="J47" s="62"/>
      <c r="K47" s="243"/>
      <c r="L47" s="243"/>
      <c r="M47" s="243"/>
      <c r="N47" s="243"/>
      <c r="O47" s="243"/>
      <c r="P47" s="243"/>
      <c r="Q47" s="243"/>
      <c r="R47" s="236"/>
    </row>
    <row r="48" spans="1:19" s="74" customFormat="1" x14ac:dyDescent="0.2">
      <c r="A48" s="167" t="s">
        <v>10</v>
      </c>
      <c r="B48" s="80"/>
      <c r="C48" s="80"/>
      <c r="D48" s="80"/>
      <c r="E48" s="508" t="s">
        <v>639</v>
      </c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236"/>
    </row>
    <row r="49" spans="1:23" s="74" customFormat="1" ht="25.5" x14ac:dyDescent="0.2">
      <c r="A49" s="570" t="s">
        <v>10</v>
      </c>
      <c r="B49" s="579" t="s">
        <v>0</v>
      </c>
      <c r="C49" s="580"/>
      <c r="D49" s="581" t="s">
        <v>31</v>
      </c>
      <c r="E49" s="505" t="s">
        <v>638</v>
      </c>
      <c r="F49" s="505"/>
      <c r="G49" s="505"/>
      <c r="H49" s="505"/>
      <c r="I49" s="505"/>
      <c r="J49" s="504" t="s">
        <v>962</v>
      </c>
      <c r="K49" s="35" t="s">
        <v>637</v>
      </c>
      <c r="L49" s="35" t="s">
        <v>636</v>
      </c>
      <c r="M49" s="35" t="s">
        <v>11</v>
      </c>
      <c r="N49" s="312">
        <v>2</v>
      </c>
      <c r="O49" s="312">
        <v>2</v>
      </c>
      <c r="P49" s="312">
        <v>2</v>
      </c>
      <c r="Q49" s="509" t="s">
        <v>963</v>
      </c>
      <c r="R49" s="236"/>
    </row>
    <row r="50" spans="1:23" s="74" customFormat="1" ht="25.5" x14ac:dyDescent="0.2">
      <c r="A50" s="570"/>
      <c r="B50" s="579"/>
      <c r="C50" s="580"/>
      <c r="D50" s="581"/>
      <c r="E50" s="505"/>
      <c r="F50" s="505"/>
      <c r="G50" s="505"/>
      <c r="H50" s="505"/>
      <c r="I50" s="505"/>
      <c r="J50" s="504"/>
      <c r="K50" s="35" t="s">
        <v>635</v>
      </c>
      <c r="L50" s="35" t="s">
        <v>634</v>
      </c>
      <c r="M50" s="35" t="s">
        <v>11</v>
      </c>
      <c r="N50" s="312">
        <v>14</v>
      </c>
      <c r="O50" s="312">
        <v>14</v>
      </c>
      <c r="P50" s="312">
        <v>14</v>
      </c>
      <c r="Q50" s="509"/>
      <c r="R50" s="236"/>
    </row>
    <row r="51" spans="1:23" s="74" customFormat="1" ht="25.5" x14ac:dyDescent="0.2">
      <c r="A51" s="570"/>
      <c r="B51" s="579"/>
      <c r="C51" s="580"/>
      <c r="D51" s="581"/>
      <c r="E51" s="505"/>
      <c r="F51" s="505"/>
      <c r="G51" s="505"/>
      <c r="H51" s="505"/>
      <c r="I51" s="505"/>
      <c r="J51" s="504"/>
      <c r="K51" s="35" t="s">
        <v>633</v>
      </c>
      <c r="L51" s="35" t="s">
        <v>632</v>
      </c>
      <c r="M51" s="35" t="s">
        <v>11</v>
      </c>
      <c r="N51" s="312">
        <v>5</v>
      </c>
      <c r="O51" s="312">
        <v>5.5</v>
      </c>
      <c r="P51" s="312">
        <v>6</v>
      </c>
      <c r="Q51" s="509"/>
      <c r="R51" s="236"/>
    </row>
    <row r="52" spans="1:23" s="74" customFormat="1" ht="25.5" x14ac:dyDescent="0.2">
      <c r="A52" s="570" t="s">
        <v>10</v>
      </c>
      <c r="B52" s="571" t="s">
        <v>0</v>
      </c>
      <c r="C52" s="576" t="s">
        <v>0</v>
      </c>
      <c r="D52" s="576" t="s">
        <v>21</v>
      </c>
      <c r="E52" s="501" t="s">
        <v>631</v>
      </c>
      <c r="F52" s="501"/>
      <c r="G52" s="501"/>
      <c r="H52" s="501"/>
      <c r="I52" s="501"/>
      <c r="J52" s="486" t="s">
        <v>19</v>
      </c>
      <c r="K52" s="34" t="s">
        <v>630</v>
      </c>
      <c r="L52" s="67" t="s">
        <v>629</v>
      </c>
      <c r="M52" s="34" t="s">
        <v>35</v>
      </c>
      <c r="N52" s="311">
        <v>116000</v>
      </c>
      <c r="O52" s="311">
        <v>116000</v>
      </c>
      <c r="P52" s="311">
        <v>116000</v>
      </c>
      <c r="Q52" s="159" t="s">
        <v>19</v>
      </c>
      <c r="R52" s="236"/>
      <c r="S52" s="582"/>
      <c r="T52" s="582"/>
      <c r="U52" s="582"/>
      <c r="V52" s="582"/>
      <c r="W52" s="582"/>
    </row>
    <row r="53" spans="1:23" s="74" customFormat="1" ht="25.5" x14ac:dyDescent="0.2">
      <c r="A53" s="570"/>
      <c r="B53" s="571"/>
      <c r="C53" s="576"/>
      <c r="D53" s="576"/>
      <c r="E53" s="501"/>
      <c r="F53" s="501"/>
      <c r="G53" s="501"/>
      <c r="H53" s="501"/>
      <c r="I53" s="501"/>
      <c r="J53" s="486"/>
      <c r="K53" s="34" t="s">
        <v>628</v>
      </c>
      <c r="L53" s="67" t="s">
        <v>627</v>
      </c>
      <c r="M53" s="34" t="s">
        <v>12</v>
      </c>
      <c r="N53" s="311">
        <v>700</v>
      </c>
      <c r="O53" s="311">
        <v>700</v>
      </c>
      <c r="P53" s="311">
        <v>700</v>
      </c>
      <c r="Q53" s="159" t="s">
        <v>19</v>
      </c>
      <c r="R53" s="236"/>
      <c r="S53" s="165"/>
      <c r="T53" s="165"/>
      <c r="U53" s="165"/>
      <c r="V53" s="165"/>
      <c r="W53" s="165"/>
    </row>
    <row r="54" spans="1:23" s="74" customFormat="1" x14ac:dyDescent="0.2">
      <c r="A54" s="570"/>
      <c r="B54" s="571"/>
      <c r="C54" s="576"/>
      <c r="D54" s="576"/>
      <c r="E54" s="501"/>
      <c r="F54" s="501"/>
      <c r="G54" s="501"/>
      <c r="H54" s="501"/>
      <c r="I54" s="501"/>
      <c r="J54" s="486"/>
      <c r="K54" s="34" t="s">
        <v>626</v>
      </c>
      <c r="L54" s="67" t="s">
        <v>625</v>
      </c>
      <c r="M54" s="34" t="s">
        <v>12</v>
      </c>
      <c r="N54" s="311">
        <v>136000</v>
      </c>
      <c r="O54" s="311">
        <v>136000</v>
      </c>
      <c r="P54" s="311">
        <v>136000</v>
      </c>
      <c r="Q54" s="159" t="s">
        <v>19</v>
      </c>
      <c r="R54" s="236"/>
      <c r="S54" s="165"/>
      <c r="T54" s="165"/>
      <c r="U54" s="165"/>
      <c r="V54" s="165"/>
      <c r="W54" s="165"/>
    </row>
    <row r="55" spans="1:23" s="74" customFormat="1" x14ac:dyDescent="0.2">
      <c r="A55" s="570"/>
      <c r="B55" s="571"/>
      <c r="C55" s="576"/>
      <c r="D55" s="576"/>
      <c r="E55" s="67" t="s">
        <v>14</v>
      </c>
      <c r="F55" s="106">
        <v>865.4</v>
      </c>
      <c r="G55" s="32">
        <v>945.3</v>
      </c>
      <c r="H55" s="106">
        <f>ROUND(G55*Lapas1!$B$1, 1)</f>
        <v>1020.9</v>
      </c>
      <c r="I55" s="106">
        <f>ROUND(H55*Lapas1!$B$1, 1)</f>
        <v>1102.5999999999999</v>
      </c>
      <c r="J55" s="27"/>
      <c r="K55" s="27"/>
      <c r="L55" s="44"/>
      <c r="M55" s="44"/>
      <c r="N55" s="25"/>
      <c r="O55" s="25"/>
      <c r="P55" s="240"/>
      <c r="Q55" s="240"/>
      <c r="R55" s="236"/>
    </row>
    <row r="56" spans="1:23" s="74" customFormat="1" x14ac:dyDescent="0.2">
      <c r="A56" s="570"/>
      <c r="B56" s="571"/>
      <c r="C56" s="576"/>
      <c r="D56" s="576"/>
      <c r="E56" s="67" t="s">
        <v>15</v>
      </c>
      <c r="F56" s="106">
        <v>43.048000000000002</v>
      </c>
      <c r="G56" s="32">
        <v>42.643999999999998</v>
      </c>
      <c r="H56" s="106">
        <f>ROUND(G56*Lapas1!$B$2, 1)</f>
        <v>46.1</v>
      </c>
      <c r="I56" s="106">
        <f>ROUND(H56*Lapas1!$B$2, 1)</f>
        <v>49.8</v>
      </c>
      <c r="J56" s="27"/>
      <c r="K56" s="27"/>
      <c r="L56" s="44"/>
      <c r="M56" s="44"/>
      <c r="N56" s="25"/>
      <c r="O56" s="25"/>
      <c r="P56" s="240"/>
      <c r="Q56" s="240"/>
      <c r="R56" s="236"/>
    </row>
    <row r="57" spans="1:23" s="74" customFormat="1" x14ac:dyDescent="0.2">
      <c r="A57" s="570"/>
      <c r="B57" s="571"/>
      <c r="C57" s="576"/>
      <c r="D57" s="576"/>
      <c r="E57" s="67" t="s">
        <v>17</v>
      </c>
      <c r="F57" s="106">
        <v>5.5</v>
      </c>
      <c r="G57" s="32">
        <v>6</v>
      </c>
      <c r="H57" s="106">
        <f>ROUND(G57*Lapas1!$B$3, 1)</f>
        <v>6.5</v>
      </c>
      <c r="I57" s="106">
        <f>ROUND(H57*Lapas1!$B$3, 1)</f>
        <v>7</v>
      </c>
      <c r="J57" s="27"/>
      <c r="K57" s="27"/>
      <c r="L57" s="44"/>
      <c r="M57" s="44"/>
      <c r="N57" s="25"/>
      <c r="O57" s="25"/>
      <c r="P57" s="240"/>
      <c r="Q57" s="240"/>
      <c r="R57" s="236"/>
    </row>
    <row r="58" spans="1:23" s="74" customFormat="1" x14ac:dyDescent="0.2">
      <c r="A58" s="570"/>
      <c r="B58" s="571"/>
      <c r="C58" s="576"/>
      <c r="D58" s="576"/>
      <c r="E58" s="30" t="s">
        <v>22</v>
      </c>
      <c r="F58" s="17">
        <f>SUM(F55:F57)</f>
        <v>913.94799999999998</v>
      </c>
      <c r="G58" s="29">
        <f>SUM(G55:G57)</f>
        <v>993.94399999999996</v>
      </c>
      <c r="H58" s="17">
        <f>SUM(H55:H57)</f>
        <v>1073.5</v>
      </c>
      <c r="I58" s="17">
        <f>SUM(I55:I57)</f>
        <v>1159.3999999999999</v>
      </c>
      <c r="J58" s="27"/>
      <c r="K58" s="27"/>
      <c r="L58" s="44"/>
      <c r="M58" s="44"/>
      <c r="N58" s="25"/>
      <c r="O58" s="25"/>
      <c r="P58" s="240"/>
      <c r="Q58" s="240"/>
      <c r="R58" s="43">
        <f>(G58-F58)/F58</f>
        <v>8.7527955638614E-2</v>
      </c>
    </row>
    <row r="59" spans="1:23" s="74" customFormat="1" x14ac:dyDescent="0.2">
      <c r="A59" s="570" t="s">
        <v>10</v>
      </c>
      <c r="B59" s="571" t="s">
        <v>0</v>
      </c>
      <c r="C59" s="578" t="s">
        <v>10</v>
      </c>
      <c r="D59" s="578" t="s">
        <v>21</v>
      </c>
      <c r="E59" s="501" t="s">
        <v>624</v>
      </c>
      <c r="F59" s="501"/>
      <c r="G59" s="501"/>
      <c r="H59" s="501"/>
      <c r="I59" s="501"/>
      <c r="J59" s="486" t="s">
        <v>19</v>
      </c>
      <c r="K59" s="34" t="s">
        <v>623</v>
      </c>
      <c r="L59" s="67" t="s">
        <v>622</v>
      </c>
      <c r="M59" s="34" t="s">
        <v>12</v>
      </c>
      <c r="N59" s="245">
        <v>3</v>
      </c>
      <c r="O59" s="245">
        <v>3</v>
      </c>
      <c r="P59" s="245">
        <v>4</v>
      </c>
      <c r="Q59" s="245" t="s">
        <v>19</v>
      </c>
      <c r="R59" s="236"/>
      <c r="S59" s="583"/>
      <c r="T59" s="583"/>
      <c r="U59" s="583"/>
      <c r="V59" s="583"/>
      <c r="W59" s="583"/>
    </row>
    <row r="60" spans="1:23" s="74" customFormat="1" ht="25.5" x14ac:dyDescent="0.2">
      <c r="A60" s="570"/>
      <c r="B60" s="571"/>
      <c r="C60" s="578"/>
      <c r="D60" s="578"/>
      <c r="E60" s="501"/>
      <c r="F60" s="501"/>
      <c r="G60" s="501"/>
      <c r="H60" s="501"/>
      <c r="I60" s="501"/>
      <c r="J60" s="486"/>
      <c r="K60" s="34" t="s">
        <v>621</v>
      </c>
      <c r="L60" s="67" t="s">
        <v>620</v>
      </c>
      <c r="M60" s="34" t="s">
        <v>12</v>
      </c>
      <c r="N60" s="245">
        <v>70000</v>
      </c>
      <c r="O60" s="245">
        <v>77000</v>
      </c>
      <c r="P60" s="245">
        <v>79000</v>
      </c>
      <c r="Q60" s="245" t="s">
        <v>19</v>
      </c>
      <c r="R60" s="236"/>
      <c r="S60" s="166"/>
      <c r="T60" s="166"/>
      <c r="U60" s="166"/>
      <c r="V60" s="166"/>
      <c r="W60" s="166"/>
    </row>
    <row r="61" spans="1:23" s="74" customFormat="1" x14ac:dyDescent="0.2">
      <c r="A61" s="570"/>
      <c r="B61" s="571"/>
      <c r="C61" s="578"/>
      <c r="D61" s="578"/>
      <c r="E61" s="501"/>
      <c r="F61" s="501"/>
      <c r="G61" s="501"/>
      <c r="H61" s="501"/>
      <c r="I61" s="501"/>
      <c r="J61" s="486"/>
      <c r="K61" s="34" t="s">
        <v>619</v>
      </c>
      <c r="L61" s="67" t="s">
        <v>618</v>
      </c>
      <c r="M61" s="34" t="s">
        <v>12</v>
      </c>
      <c r="N61" s="245">
        <v>8</v>
      </c>
      <c r="O61" s="245">
        <v>8</v>
      </c>
      <c r="P61" s="245">
        <v>9</v>
      </c>
      <c r="Q61" s="245" t="s">
        <v>19</v>
      </c>
      <c r="R61" s="236"/>
      <c r="S61" s="166"/>
      <c r="T61" s="166"/>
      <c r="U61" s="166"/>
      <c r="V61" s="166"/>
      <c r="W61" s="166"/>
    </row>
    <row r="62" spans="1:23" s="74" customFormat="1" ht="25.5" x14ac:dyDescent="0.2">
      <c r="A62" s="570"/>
      <c r="B62" s="571"/>
      <c r="C62" s="578"/>
      <c r="D62" s="578"/>
      <c r="E62" s="501"/>
      <c r="F62" s="501"/>
      <c r="G62" s="501"/>
      <c r="H62" s="501"/>
      <c r="I62" s="501"/>
      <c r="J62" s="486"/>
      <c r="K62" s="34" t="s">
        <v>617</v>
      </c>
      <c r="L62" s="67" t="s">
        <v>616</v>
      </c>
      <c r="M62" s="34" t="s">
        <v>12</v>
      </c>
      <c r="N62" s="245">
        <v>40</v>
      </c>
      <c r="O62" s="245">
        <v>50</v>
      </c>
      <c r="P62" s="245">
        <v>55</v>
      </c>
      <c r="Q62" s="245" t="s">
        <v>19</v>
      </c>
      <c r="R62" s="236"/>
    </row>
    <row r="63" spans="1:23" s="74" customFormat="1" x14ac:dyDescent="0.2">
      <c r="A63" s="570"/>
      <c r="B63" s="571"/>
      <c r="C63" s="578"/>
      <c r="D63" s="578"/>
      <c r="E63" s="33" t="s">
        <v>14</v>
      </c>
      <c r="F63" s="106">
        <v>142</v>
      </c>
      <c r="G63" s="32">
        <v>149.80000000000001</v>
      </c>
      <c r="H63" s="106">
        <f>ROUND(G63*Lapas1!$B$1, 1)</f>
        <v>161.80000000000001</v>
      </c>
      <c r="I63" s="106">
        <f>ROUND(H63*Lapas1!$B$1, 1)</f>
        <v>174.7</v>
      </c>
      <c r="J63" s="27"/>
      <c r="K63" s="27"/>
      <c r="L63" s="44"/>
      <c r="M63" s="44"/>
      <c r="N63" s="25"/>
      <c r="O63" s="25"/>
      <c r="P63" s="240"/>
      <c r="Q63" s="240"/>
      <c r="R63" s="236"/>
    </row>
    <row r="64" spans="1:23" s="74" customFormat="1" x14ac:dyDescent="0.2">
      <c r="A64" s="570"/>
      <c r="B64" s="571"/>
      <c r="C64" s="578"/>
      <c r="D64" s="578"/>
      <c r="E64" s="33" t="s">
        <v>17</v>
      </c>
      <c r="F64" s="106">
        <v>12.5</v>
      </c>
      <c r="G64" s="32">
        <v>10</v>
      </c>
      <c r="H64" s="106">
        <f>ROUND(G64*Lapas1!$B$3, 1)</f>
        <v>10.8</v>
      </c>
      <c r="I64" s="106">
        <f>ROUND(H64*Lapas1!$B$3, 1)</f>
        <v>11.7</v>
      </c>
      <c r="J64" s="27"/>
      <c r="K64" s="27"/>
      <c r="L64" s="44"/>
      <c r="M64" s="44"/>
      <c r="N64" s="25"/>
      <c r="O64" s="25"/>
      <c r="P64" s="240"/>
      <c r="Q64" s="240"/>
      <c r="R64" s="236"/>
    </row>
    <row r="65" spans="1:23" s="74" customFormat="1" x14ac:dyDescent="0.2">
      <c r="A65" s="570"/>
      <c r="B65" s="571"/>
      <c r="C65" s="578"/>
      <c r="D65" s="578"/>
      <c r="E65" s="30" t="s">
        <v>22</v>
      </c>
      <c r="F65" s="17">
        <f>SUM(F63:F64)</f>
        <v>154.5</v>
      </c>
      <c r="G65" s="29">
        <f>SUM(G63:G64)</f>
        <v>159.80000000000001</v>
      </c>
      <c r="H65" s="17">
        <f>SUM(H63:H64)</f>
        <v>172.60000000000002</v>
      </c>
      <c r="I65" s="17">
        <f>SUM(I63:I64)</f>
        <v>186.39999999999998</v>
      </c>
      <c r="J65" s="27"/>
      <c r="K65" s="27"/>
      <c r="L65" s="44"/>
      <c r="M65" s="44"/>
      <c r="N65" s="25"/>
      <c r="O65" s="25"/>
      <c r="P65" s="240"/>
      <c r="Q65" s="240"/>
      <c r="R65" s="43">
        <f>(G65-F65)/F65</f>
        <v>3.4304207119741172E-2</v>
      </c>
    </row>
    <row r="66" spans="1:23" s="74" customFormat="1" ht="25.5" x14ac:dyDescent="0.2">
      <c r="A66" s="570" t="s">
        <v>10</v>
      </c>
      <c r="B66" s="571" t="s">
        <v>0</v>
      </c>
      <c r="C66" s="578" t="s">
        <v>24</v>
      </c>
      <c r="D66" s="578" t="s">
        <v>21</v>
      </c>
      <c r="E66" s="501" t="s">
        <v>615</v>
      </c>
      <c r="F66" s="501"/>
      <c r="G66" s="501"/>
      <c r="H66" s="501"/>
      <c r="I66" s="501"/>
      <c r="J66" s="480" t="s">
        <v>19</v>
      </c>
      <c r="K66" s="34" t="s">
        <v>614</v>
      </c>
      <c r="L66" s="67" t="s">
        <v>613</v>
      </c>
      <c r="M66" s="34" t="s">
        <v>12</v>
      </c>
      <c r="N66" s="245">
        <v>800</v>
      </c>
      <c r="O66" s="245">
        <v>820</v>
      </c>
      <c r="P66" s="245">
        <v>840</v>
      </c>
      <c r="Q66" s="245" t="s">
        <v>19</v>
      </c>
      <c r="R66" s="236"/>
      <c r="S66" s="166"/>
      <c r="T66" s="166"/>
      <c r="U66" s="166"/>
      <c r="V66" s="166"/>
      <c r="W66" s="166"/>
    </row>
    <row r="67" spans="1:23" s="74" customFormat="1" x14ac:dyDescent="0.2">
      <c r="A67" s="570"/>
      <c r="B67" s="571"/>
      <c r="C67" s="578"/>
      <c r="D67" s="578"/>
      <c r="E67" s="501"/>
      <c r="F67" s="501"/>
      <c r="G67" s="501"/>
      <c r="H67" s="501"/>
      <c r="I67" s="501"/>
      <c r="J67" s="480"/>
      <c r="K67" s="34" t="s">
        <v>612</v>
      </c>
      <c r="L67" s="67" t="s">
        <v>611</v>
      </c>
      <c r="M67" s="34" t="s">
        <v>610</v>
      </c>
      <c r="N67" s="311">
        <v>55000</v>
      </c>
      <c r="O67" s="311">
        <v>57000</v>
      </c>
      <c r="P67" s="311">
        <v>59000</v>
      </c>
      <c r="Q67" s="159" t="s">
        <v>19</v>
      </c>
      <c r="R67" s="236"/>
      <c r="S67" s="584"/>
      <c r="T67" s="585"/>
      <c r="U67" s="585"/>
      <c r="V67" s="166"/>
      <c r="W67" s="166"/>
    </row>
    <row r="68" spans="1:23" s="74" customFormat="1" x14ac:dyDescent="0.2">
      <c r="A68" s="570"/>
      <c r="B68" s="571"/>
      <c r="C68" s="578"/>
      <c r="D68" s="578"/>
      <c r="E68" s="501"/>
      <c r="F68" s="501"/>
      <c r="G68" s="501"/>
      <c r="H68" s="501"/>
      <c r="I68" s="501"/>
      <c r="J68" s="480"/>
      <c r="K68" s="34" t="s">
        <v>609</v>
      </c>
      <c r="L68" s="67" t="s">
        <v>608</v>
      </c>
      <c r="M68" s="34" t="s">
        <v>12</v>
      </c>
      <c r="N68" s="311">
        <v>14000</v>
      </c>
      <c r="O68" s="311">
        <v>14100</v>
      </c>
      <c r="P68" s="311">
        <v>14200</v>
      </c>
      <c r="Q68" s="159" t="s">
        <v>19</v>
      </c>
      <c r="R68" s="236"/>
      <c r="S68" s="584"/>
      <c r="T68" s="585"/>
      <c r="U68" s="585"/>
      <c r="V68" s="166"/>
      <c r="W68" s="166"/>
    </row>
    <row r="69" spans="1:23" s="74" customFormat="1" ht="25.5" x14ac:dyDescent="0.2">
      <c r="A69" s="570"/>
      <c r="B69" s="571"/>
      <c r="C69" s="578"/>
      <c r="D69" s="578"/>
      <c r="E69" s="501"/>
      <c r="F69" s="501"/>
      <c r="G69" s="501"/>
      <c r="H69" s="501"/>
      <c r="I69" s="501"/>
      <c r="J69" s="480"/>
      <c r="K69" s="34" t="s">
        <v>607</v>
      </c>
      <c r="L69" s="67" t="s">
        <v>606</v>
      </c>
      <c r="M69" s="34" t="s">
        <v>12</v>
      </c>
      <c r="N69" s="245">
        <v>3</v>
      </c>
      <c r="O69" s="245">
        <v>3</v>
      </c>
      <c r="P69" s="245">
        <v>3</v>
      </c>
      <c r="Q69" s="245" t="s">
        <v>19</v>
      </c>
      <c r="R69" s="236"/>
    </row>
    <row r="70" spans="1:23" s="74" customFormat="1" x14ac:dyDescent="0.2">
      <c r="A70" s="570"/>
      <c r="B70" s="571"/>
      <c r="C70" s="578"/>
      <c r="D70" s="578"/>
      <c r="E70" s="33" t="s">
        <v>14</v>
      </c>
      <c r="F70" s="106">
        <v>765.7</v>
      </c>
      <c r="G70" s="106">
        <v>681.8</v>
      </c>
      <c r="H70" s="106">
        <f>ROUND(G70*Lapas1!$B$1, 1)</f>
        <v>736.3</v>
      </c>
      <c r="I70" s="106">
        <f>ROUND(H70*Lapas1!$B$1, 1)</f>
        <v>795.2</v>
      </c>
      <c r="J70" s="27"/>
      <c r="K70" s="27"/>
      <c r="L70" s="44"/>
      <c r="M70" s="44"/>
      <c r="N70" s="25"/>
      <c r="O70" s="25"/>
      <c r="P70" s="240"/>
      <c r="Q70" s="240"/>
      <c r="R70" s="236"/>
    </row>
    <row r="71" spans="1:23" s="74" customFormat="1" x14ac:dyDescent="0.2">
      <c r="A71" s="570"/>
      <c r="B71" s="571"/>
      <c r="C71" s="578"/>
      <c r="D71" s="578"/>
      <c r="E71" s="33" t="s">
        <v>17</v>
      </c>
      <c r="F71" s="106">
        <f>100+15</f>
        <v>115</v>
      </c>
      <c r="G71" s="106">
        <v>100</v>
      </c>
      <c r="H71" s="106">
        <f>ROUND(G71*Lapas1!$B$3, 1)</f>
        <v>108</v>
      </c>
      <c r="I71" s="106">
        <f>ROUND(H71*Lapas1!$B$3, 1)</f>
        <v>116.6</v>
      </c>
      <c r="J71" s="27"/>
      <c r="K71" s="27"/>
      <c r="L71" s="44"/>
      <c r="M71" s="44"/>
      <c r="N71" s="25"/>
      <c r="O71" s="25"/>
      <c r="P71" s="240"/>
      <c r="Q71" s="240"/>
      <c r="R71" s="236"/>
    </row>
    <row r="72" spans="1:23" s="74" customFormat="1" x14ac:dyDescent="0.2">
      <c r="A72" s="570"/>
      <c r="B72" s="571"/>
      <c r="C72" s="578"/>
      <c r="D72" s="578"/>
      <c r="E72" s="30" t="s">
        <v>22</v>
      </c>
      <c r="F72" s="17">
        <f>SUM(F70:F71)</f>
        <v>880.7</v>
      </c>
      <c r="G72" s="29">
        <f>SUM(G70:G71)</f>
        <v>781.8</v>
      </c>
      <c r="H72" s="17">
        <f>SUM(H70:H71)</f>
        <v>844.3</v>
      </c>
      <c r="I72" s="17">
        <f>SUM(I70:I71)</f>
        <v>911.80000000000007</v>
      </c>
      <c r="J72" s="27"/>
      <c r="K72" s="27"/>
      <c r="L72" s="44"/>
      <c r="M72" s="44"/>
      <c r="N72" s="25"/>
      <c r="O72" s="25"/>
      <c r="P72" s="240"/>
      <c r="Q72" s="240"/>
      <c r="R72" s="43">
        <f>(G72-F72)/F72</f>
        <v>-0.11229703644827987</v>
      </c>
    </row>
    <row r="73" spans="1:23" s="74" customFormat="1" ht="13.5" x14ac:dyDescent="0.2">
      <c r="A73" s="570" t="s">
        <v>10</v>
      </c>
      <c r="B73" s="571" t="s">
        <v>0</v>
      </c>
      <c r="C73" s="578" t="s">
        <v>25</v>
      </c>
      <c r="D73" s="578" t="s">
        <v>21</v>
      </c>
      <c r="E73" s="501" t="s">
        <v>605</v>
      </c>
      <c r="F73" s="501"/>
      <c r="G73" s="501"/>
      <c r="H73" s="501"/>
      <c r="I73" s="501"/>
      <c r="J73" s="157" t="s">
        <v>19</v>
      </c>
      <c r="K73" s="34" t="s">
        <v>604</v>
      </c>
      <c r="L73" s="67" t="s">
        <v>603</v>
      </c>
      <c r="M73" s="34" t="s">
        <v>566</v>
      </c>
      <c r="N73" s="245">
        <v>57</v>
      </c>
      <c r="O73" s="245">
        <v>57</v>
      </c>
      <c r="P73" s="245">
        <v>57</v>
      </c>
      <c r="Q73" s="245" t="s">
        <v>19</v>
      </c>
      <c r="R73" s="236"/>
      <c r="S73" s="583"/>
      <c r="T73" s="583"/>
      <c r="U73" s="583"/>
      <c r="V73" s="583"/>
      <c r="W73" s="583"/>
    </row>
    <row r="74" spans="1:23" s="74" customFormat="1" x14ac:dyDescent="0.2">
      <c r="A74" s="570"/>
      <c r="B74" s="571"/>
      <c r="C74" s="578"/>
      <c r="D74" s="578"/>
      <c r="E74" s="33" t="s">
        <v>14</v>
      </c>
      <c r="F74" s="32">
        <v>40</v>
      </c>
      <c r="G74" s="106">
        <v>40</v>
      </c>
      <c r="H74" s="106">
        <f>ROUND(G74*Lapas1!$B$1, 1)</f>
        <v>43.2</v>
      </c>
      <c r="I74" s="106">
        <f>ROUND(H74*Lapas1!$B$1, 1)</f>
        <v>46.7</v>
      </c>
      <c r="J74" s="27"/>
      <c r="K74" s="27"/>
      <c r="L74" s="44"/>
      <c r="M74" s="44"/>
      <c r="N74" s="25"/>
      <c r="O74" s="25"/>
      <c r="P74" s="240"/>
      <c r="Q74" s="240"/>
      <c r="R74" s="236"/>
    </row>
    <row r="75" spans="1:23" s="74" customFormat="1" x14ac:dyDescent="0.2">
      <c r="A75" s="570"/>
      <c r="B75" s="571"/>
      <c r="C75" s="578"/>
      <c r="D75" s="578"/>
      <c r="E75" s="30" t="s">
        <v>22</v>
      </c>
      <c r="F75" s="91">
        <f>SUM(F74:F74)</f>
        <v>40</v>
      </c>
      <c r="G75" s="417">
        <f>SUM(G74:G74)</f>
        <v>40</v>
      </c>
      <c r="H75" s="91">
        <f>SUM(H74:H74)</f>
        <v>43.2</v>
      </c>
      <c r="I75" s="91">
        <f>SUM(I74:I74)</f>
        <v>46.7</v>
      </c>
      <c r="J75" s="27"/>
      <c r="K75" s="27"/>
      <c r="L75" s="44"/>
      <c r="M75" s="44"/>
      <c r="N75" s="25"/>
      <c r="O75" s="25"/>
      <c r="P75" s="240"/>
      <c r="Q75" s="240"/>
      <c r="R75" s="43">
        <f>(G75-F75)/F75</f>
        <v>0</v>
      </c>
    </row>
    <row r="76" spans="1:23" s="74" customFormat="1" x14ac:dyDescent="0.2">
      <c r="A76" s="167" t="s">
        <v>10</v>
      </c>
      <c r="B76" s="169" t="s">
        <v>0</v>
      </c>
      <c r="C76" s="79"/>
      <c r="D76" s="79"/>
      <c r="E76" s="42" t="s">
        <v>2</v>
      </c>
      <c r="F76" s="40">
        <f>F72+F75+F65+F58</f>
        <v>1989.1480000000001</v>
      </c>
      <c r="G76" s="41">
        <f t="shared" ref="G76:I76" si="1">G72+G75+G65+G58</f>
        <v>1975.5439999999999</v>
      </c>
      <c r="H76" s="40">
        <f t="shared" si="1"/>
        <v>2133.6</v>
      </c>
      <c r="I76" s="40">
        <f t="shared" si="1"/>
        <v>2304.3000000000002</v>
      </c>
      <c r="J76" s="169"/>
      <c r="K76" s="94"/>
      <c r="L76" s="94"/>
      <c r="M76" s="94"/>
      <c r="N76" s="93"/>
      <c r="O76" s="93"/>
      <c r="P76" s="93"/>
      <c r="Q76" s="93"/>
      <c r="R76" s="236"/>
    </row>
    <row r="77" spans="1:23" s="74" customFormat="1" x14ac:dyDescent="0.2">
      <c r="A77" s="167" t="s">
        <v>10</v>
      </c>
      <c r="B77" s="62"/>
      <c r="C77" s="62"/>
      <c r="D77" s="62"/>
      <c r="E77" s="38" t="s">
        <v>582</v>
      </c>
      <c r="F77" s="36">
        <f>F76</f>
        <v>1989.1480000000001</v>
      </c>
      <c r="G77" s="37">
        <f>G76</f>
        <v>1975.5439999999999</v>
      </c>
      <c r="H77" s="36">
        <f>H76</f>
        <v>2133.6</v>
      </c>
      <c r="I77" s="36">
        <f>I76</f>
        <v>2304.3000000000002</v>
      </c>
      <c r="J77" s="62"/>
      <c r="K77" s="243"/>
      <c r="L77" s="243"/>
      <c r="M77" s="243"/>
      <c r="N77" s="243"/>
      <c r="O77" s="243"/>
      <c r="P77" s="243"/>
      <c r="Q77" s="243"/>
      <c r="R77" s="236"/>
    </row>
    <row r="78" spans="1:23" s="74" customFormat="1" x14ac:dyDescent="0.2">
      <c r="A78" s="167" t="s">
        <v>24</v>
      </c>
      <c r="B78" s="80"/>
      <c r="C78" s="80"/>
      <c r="D78" s="80"/>
      <c r="E78" s="508" t="s">
        <v>602</v>
      </c>
      <c r="F78" s="508"/>
      <c r="G78" s="508"/>
      <c r="H78" s="508"/>
      <c r="I78" s="508"/>
      <c r="J78" s="508"/>
      <c r="K78" s="508"/>
      <c r="L78" s="508"/>
      <c r="M78" s="508"/>
      <c r="N78" s="508"/>
      <c r="O78" s="508"/>
      <c r="P78" s="508"/>
      <c r="Q78" s="508"/>
      <c r="R78" s="236"/>
    </row>
    <row r="79" spans="1:23" s="74" customFormat="1" ht="25.5" x14ac:dyDescent="0.2">
      <c r="A79" s="167" t="s">
        <v>24</v>
      </c>
      <c r="B79" s="169" t="s">
        <v>0</v>
      </c>
      <c r="C79" s="168"/>
      <c r="D79" s="168" t="s">
        <v>18</v>
      </c>
      <c r="E79" s="505" t="s">
        <v>601</v>
      </c>
      <c r="F79" s="505"/>
      <c r="G79" s="505"/>
      <c r="H79" s="505"/>
      <c r="I79" s="505"/>
      <c r="J79" s="161" t="s">
        <v>958</v>
      </c>
      <c r="K79" s="35" t="s">
        <v>600</v>
      </c>
      <c r="L79" s="35" t="s">
        <v>599</v>
      </c>
      <c r="M79" s="35" t="s">
        <v>11</v>
      </c>
      <c r="N79" s="312">
        <v>3</v>
      </c>
      <c r="O79" s="312">
        <v>4</v>
      </c>
      <c r="P79" s="312">
        <v>4</v>
      </c>
      <c r="Q79" s="163" t="s">
        <v>959</v>
      </c>
      <c r="R79" s="236"/>
    </row>
    <row r="80" spans="1:23" s="74" customFormat="1" ht="13.5" x14ac:dyDescent="0.2">
      <c r="A80" s="570" t="s">
        <v>24</v>
      </c>
      <c r="B80" s="571" t="s">
        <v>0</v>
      </c>
      <c r="C80" s="576" t="s">
        <v>0</v>
      </c>
      <c r="D80" s="576" t="s">
        <v>78</v>
      </c>
      <c r="E80" s="501" t="s">
        <v>1019</v>
      </c>
      <c r="F80" s="501"/>
      <c r="G80" s="501"/>
      <c r="H80" s="501"/>
      <c r="I80" s="501"/>
      <c r="J80" s="155" t="s">
        <v>598</v>
      </c>
      <c r="K80" s="34" t="s">
        <v>597</v>
      </c>
      <c r="L80" s="67" t="s">
        <v>596</v>
      </c>
      <c r="M80" s="34" t="s">
        <v>12</v>
      </c>
      <c r="N80" s="311">
        <v>40</v>
      </c>
      <c r="O80" s="311">
        <v>45</v>
      </c>
      <c r="P80" s="311">
        <v>45</v>
      </c>
      <c r="Q80" s="159" t="s">
        <v>672</v>
      </c>
      <c r="R80" s="236"/>
      <c r="S80" s="583"/>
      <c r="T80" s="583"/>
      <c r="U80" s="583"/>
      <c r="V80" s="583"/>
      <c r="W80" s="583"/>
    </row>
    <row r="81" spans="1:23" s="74" customFormat="1" x14ac:dyDescent="0.2">
      <c r="A81" s="570"/>
      <c r="B81" s="571"/>
      <c r="C81" s="576"/>
      <c r="D81" s="576"/>
      <c r="E81" s="67" t="s">
        <v>14</v>
      </c>
      <c r="F81" s="31">
        <v>40</v>
      </c>
      <c r="G81" s="32">
        <v>41.2</v>
      </c>
      <c r="H81" s="106">
        <f>ROUND(G81*Lapas1!$B$1, 1)</f>
        <v>44.5</v>
      </c>
      <c r="I81" s="106">
        <f>ROUND(H81*Lapas1!$B$1, 1)</f>
        <v>48.1</v>
      </c>
      <c r="J81" s="27"/>
      <c r="K81" s="27"/>
      <c r="L81" s="44"/>
      <c r="M81" s="44"/>
      <c r="N81" s="25"/>
      <c r="O81" s="25"/>
      <c r="P81" s="240"/>
      <c r="Q81" s="240"/>
      <c r="R81" s="236"/>
    </row>
    <row r="82" spans="1:23" s="74" customFormat="1" x14ac:dyDescent="0.2">
      <c r="A82" s="570"/>
      <c r="B82" s="571"/>
      <c r="C82" s="576"/>
      <c r="D82" s="576"/>
      <c r="E82" s="92" t="s">
        <v>22</v>
      </c>
      <c r="F82" s="17">
        <f>SUM(F81:F81)</f>
        <v>40</v>
      </c>
      <c r="G82" s="29">
        <f>SUM(G81:G81)</f>
        <v>41.2</v>
      </c>
      <c r="H82" s="17">
        <f>SUM(H81:H81)</f>
        <v>44.5</v>
      </c>
      <c r="I82" s="17">
        <f>SUM(I81:I81)</f>
        <v>48.1</v>
      </c>
      <c r="J82" s="27"/>
      <c r="K82" s="27"/>
      <c r="L82" s="44"/>
      <c r="M82" s="44"/>
      <c r="N82" s="25"/>
      <c r="O82" s="25"/>
      <c r="P82" s="240"/>
      <c r="Q82" s="240"/>
      <c r="R82" s="43">
        <f>(G82-F82)/F82</f>
        <v>3.0000000000000072E-2</v>
      </c>
    </row>
    <row r="83" spans="1:23" s="74" customFormat="1" ht="25.5" x14ac:dyDescent="0.2">
      <c r="A83" s="570" t="s">
        <v>24</v>
      </c>
      <c r="B83" s="571" t="s">
        <v>0</v>
      </c>
      <c r="C83" s="572" t="s">
        <v>10</v>
      </c>
      <c r="D83" s="572" t="s">
        <v>21</v>
      </c>
      <c r="E83" s="501" t="s">
        <v>595</v>
      </c>
      <c r="F83" s="501"/>
      <c r="G83" s="501"/>
      <c r="H83" s="501"/>
      <c r="I83" s="501"/>
      <c r="J83" s="157" t="s">
        <v>19</v>
      </c>
      <c r="K83" s="34" t="s">
        <v>594</v>
      </c>
      <c r="L83" s="67" t="s">
        <v>593</v>
      </c>
      <c r="M83" s="34" t="s">
        <v>12</v>
      </c>
      <c r="N83" s="311">
        <v>2</v>
      </c>
      <c r="O83" s="311">
        <v>1</v>
      </c>
      <c r="P83" s="311">
        <v>2</v>
      </c>
      <c r="Q83" s="159" t="s">
        <v>19</v>
      </c>
      <c r="R83" s="236"/>
      <c r="S83" s="583"/>
      <c r="T83" s="583"/>
      <c r="U83" s="583"/>
      <c r="V83" s="583"/>
      <c r="W83" s="583"/>
    </row>
    <row r="84" spans="1:23" s="74" customFormat="1" x14ac:dyDescent="0.2">
      <c r="A84" s="570"/>
      <c r="B84" s="571"/>
      <c r="C84" s="572"/>
      <c r="D84" s="572"/>
      <c r="E84" s="67" t="s">
        <v>14</v>
      </c>
      <c r="F84" s="31">
        <v>19.2</v>
      </c>
      <c r="G84" s="32">
        <v>10</v>
      </c>
      <c r="H84" s="106">
        <f>ROUND(G84*Lapas1!$B$1, 1)</f>
        <v>10.8</v>
      </c>
      <c r="I84" s="106">
        <f>ROUND(H84*Lapas1!$B$1, 1)</f>
        <v>11.7</v>
      </c>
      <c r="J84" s="27"/>
      <c r="K84" s="27"/>
      <c r="L84" s="44"/>
      <c r="M84" s="44"/>
      <c r="N84" s="25"/>
      <c r="O84" s="25"/>
      <c r="P84" s="240"/>
      <c r="Q84" s="240"/>
      <c r="R84" s="236"/>
    </row>
    <row r="85" spans="1:23" s="74" customFormat="1" x14ac:dyDescent="0.2">
      <c r="A85" s="570"/>
      <c r="B85" s="571"/>
      <c r="C85" s="572"/>
      <c r="D85" s="572"/>
      <c r="E85" s="92" t="s">
        <v>22</v>
      </c>
      <c r="F85" s="17">
        <f>SUM(F84:F84)</f>
        <v>19.2</v>
      </c>
      <c r="G85" s="29">
        <f>SUM(G84:G84)</f>
        <v>10</v>
      </c>
      <c r="H85" s="17">
        <f>SUM(H84:H84)</f>
        <v>10.8</v>
      </c>
      <c r="I85" s="17">
        <f>SUM(I84:I84)</f>
        <v>11.7</v>
      </c>
      <c r="J85" s="27"/>
      <c r="K85" s="27"/>
      <c r="L85" s="44"/>
      <c r="M85" s="44"/>
      <c r="N85" s="25"/>
      <c r="O85" s="25"/>
      <c r="P85" s="240"/>
      <c r="Q85" s="240"/>
      <c r="R85" s="43">
        <f>(G85-F85)/F85</f>
        <v>-0.47916666666666663</v>
      </c>
    </row>
    <row r="86" spans="1:23" s="74" customFormat="1" ht="13.5" x14ac:dyDescent="0.2">
      <c r="A86" s="570" t="s">
        <v>24</v>
      </c>
      <c r="B86" s="571" t="s">
        <v>0</v>
      </c>
      <c r="C86" s="572" t="s">
        <v>24</v>
      </c>
      <c r="D86" s="572" t="s">
        <v>21</v>
      </c>
      <c r="E86" s="501" t="s">
        <v>592</v>
      </c>
      <c r="F86" s="501"/>
      <c r="G86" s="501"/>
      <c r="H86" s="501"/>
      <c r="I86" s="501"/>
      <c r="J86" s="157" t="s">
        <v>19</v>
      </c>
      <c r="K86" s="34" t="s">
        <v>591</v>
      </c>
      <c r="L86" s="67" t="s">
        <v>512</v>
      </c>
      <c r="M86" s="34" t="s">
        <v>12</v>
      </c>
      <c r="N86" s="311">
        <v>16</v>
      </c>
      <c r="O86" s="311">
        <v>17</v>
      </c>
      <c r="P86" s="311">
        <v>17</v>
      </c>
      <c r="Q86" s="159" t="s">
        <v>19</v>
      </c>
      <c r="R86" s="236"/>
      <c r="S86" s="583"/>
      <c r="T86" s="583"/>
      <c r="U86" s="583"/>
      <c r="V86" s="583"/>
      <c r="W86" s="583"/>
    </row>
    <row r="87" spans="1:23" s="74" customFormat="1" x14ac:dyDescent="0.2">
      <c r="A87" s="570"/>
      <c r="B87" s="571"/>
      <c r="C87" s="572"/>
      <c r="D87" s="572"/>
      <c r="E87" s="67" t="s">
        <v>14</v>
      </c>
      <c r="F87" s="32">
        <v>113.3</v>
      </c>
      <c r="G87" s="32">
        <v>100</v>
      </c>
      <c r="H87" s="106">
        <f>ROUND(G87*Lapas1!$B$1, 1)</f>
        <v>108</v>
      </c>
      <c r="I87" s="106">
        <f>ROUND(H87*Lapas1!$B$1, 1)</f>
        <v>116.6</v>
      </c>
      <c r="J87" s="27"/>
      <c r="K87" s="27"/>
      <c r="L87" s="44"/>
      <c r="M87" s="44"/>
      <c r="N87" s="25"/>
      <c r="O87" s="25"/>
      <c r="P87" s="240"/>
      <c r="Q87" s="240"/>
      <c r="R87" s="236"/>
    </row>
    <row r="88" spans="1:23" s="74" customFormat="1" x14ac:dyDescent="0.2">
      <c r="A88" s="570"/>
      <c r="B88" s="571"/>
      <c r="C88" s="572"/>
      <c r="D88" s="572"/>
      <c r="E88" s="92" t="s">
        <v>22</v>
      </c>
      <c r="F88" s="17">
        <f>SUM(F87:F87)</f>
        <v>113.3</v>
      </c>
      <c r="G88" s="29">
        <f>SUM(G87:G87)</f>
        <v>100</v>
      </c>
      <c r="H88" s="17">
        <f>SUM(H87:H87)</f>
        <v>108</v>
      </c>
      <c r="I88" s="17">
        <f>SUM(I87:I87)</f>
        <v>116.6</v>
      </c>
      <c r="J88" s="27"/>
      <c r="K88" s="27"/>
      <c r="L88" s="44"/>
      <c r="M88" s="44"/>
      <c r="N88" s="25"/>
      <c r="O88" s="25"/>
      <c r="P88" s="240"/>
      <c r="Q88" s="240"/>
      <c r="R88" s="43">
        <f>(G88-F88)/F88</f>
        <v>-0.11738746690202999</v>
      </c>
    </row>
    <row r="89" spans="1:23" s="74" customFormat="1" ht="13.5" x14ac:dyDescent="0.2">
      <c r="A89" s="570" t="s">
        <v>24</v>
      </c>
      <c r="B89" s="571" t="s">
        <v>0</v>
      </c>
      <c r="C89" s="572" t="s">
        <v>25</v>
      </c>
      <c r="D89" s="572" t="s">
        <v>78</v>
      </c>
      <c r="E89" s="501" t="s">
        <v>590</v>
      </c>
      <c r="F89" s="501"/>
      <c r="G89" s="501"/>
      <c r="H89" s="501"/>
      <c r="I89" s="501"/>
      <c r="J89" s="155" t="s">
        <v>586</v>
      </c>
      <c r="K89" s="34" t="s">
        <v>589</v>
      </c>
      <c r="L89" s="67" t="s">
        <v>588</v>
      </c>
      <c r="M89" s="34" t="s">
        <v>12</v>
      </c>
      <c r="N89" s="311">
        <v>21</v>
      </c>
      <c r="O89" s="311">
        <v>23</v>
      </c>
      <c r="P89" s="311">
        <v>23</v>
      </c>
      <c r="Q89" s="159" t="s">
        <v>672</v>
      </c>
      <c r="R89" s="236"/>
      <c r="S89" s="583"/>
      <c r="T89" s="583"/>
      <c r="U89" s="583"/>
      <c r="V89" s="583"/>
      <c r="W89" s="583"/>
    </row>
    <row r="90" spans="1:23" s="74" customFormat="1" x14ac:dyDescent="0.2">
      <c r="A90" s="570"/>
      <c r="B90" s="571"/>
      <c r="C90" s="572"/>
      <c r="D90" s="572"/>
      <c r="E90" s="67" t="s">
        <v>14</v>
      </c>
      <c r="F90" s="31">
        <v>32.5</v>
      </c>
      <c r="G90" s="32">
        <v>47</v>
      </c>
      <c r="H90" s="106">
        <f>ROUND(G90*Lapas1!$B$1, 1)</f>
        <v>50.8</v>
      </c>
      <c r="I90" s="106">
        <f>ROUND(H90*Lapas1!$B$1, 1)</f>
        <v>54.9</v>
      </c>
      <c r="J90" s="27"/>
      <c r="K90" s="27"/>
      <c r="L90" s="44"/>
      <c r="M90" s="44"/>
      <c r="N90" s="25"/>
      <c r="O90" s="25"/>
      <c r="P90" s="240"/>
      <c r="Q90" s="240"/>
      <c r="R90" s="236"/>
    </row>
    <row r="91" spans="1:23" s="74" customFormat="1" x14ac:dyDescent="0.2">
      <c r="A91" s="570"/>
      <c r="B91" s="571"/>
      <c r="C91" s="572"/>
      <c r="D91" s="572"/>
      <c r="E91" s="92" t="s">
        <v>22</v>
      </c>
      <c r="F91" s="17">
        <f>SUM(F90:F90)</f>
        <v>32.5</v>
      </c>
      <c r="G91" s="29">
        <f>SUM(G90:G90)</f>
        <v>47</v>
      </c>
      <c r="H91" s="17">
        <f>SUM(H90:H90)</f>
        <v>50.8</v>
      </c>
      <c r="I91" s="17">
        <f>SUM(I90:I90)</f>
        <v>54.9</v>
      </c>
      <c r="J91" s="27"/>
      <c r="K91" s="27"/>
      <c r="L91" s="44"/>
      <c r="M91" s="44"/>
      <c r="N91" s="25"/>
      <c r="O91" s="25"/>
      <c r="P91" s="240"/>
      <c r="Q91" s="240"/>
      <c r="R91" s="43">
        <f>(G91-F91)/F91</f>
        <v>0.44615384615384618</v>
      </c>
    </row>
    <row r="92" spans="1:23" s="74" customFormat="1" ht="13.5" x14ac:dyDescent="0.2">
      <c r="A92" s="570" t="s">
        <v>24</v>
      </c>
      <c r="B92" s="571" t="s">
        <v>0</v>
      </c>
      <c r="C92" s="572" t="s">
        <v>26</v>
      </c>
      <c r="D92" s="572" t="s">
        <v>21</v>
      </c>
      <c r="E92" s="537" t="s">
        <v>914</v>
      </c>
      <c r="F92" s="537"/>
      <c r="G92" s="537"/>
      <c r="H92" s="537"/>
      <c r="I92" s="537"/>
      <c r="J92" s="262" t="s">
        <v>960</v>
      </c>
      <c r="K92" s="34" t="s">
        <v>585</v>
      </c>
      <c r="L92" s="67" t="s">
        <v>915</v>
      </c>
      <c r="M92" s="34" t="s">
        <v>12</v>
      </c>
      <c r="N92" s="287">
        <v>5</v>
      </c>
      <c r="O92" s="287">
        <v>6</v>
      </c>
      <c r="P92" s="287">
        <v>6</v>
      </c>
      <c r="Q92" s="263" t="s">
        <v>961</v>
      </c>
      <c r="R92" s="236"/>
    </row>
    <row r="93" spans="1:23" s="74" customFormat="1" x14ac:dyDescent="0.2">
      <c r="A93" s="570"/>
      <c r="B93" s="571"/>
      <c r="C93" s="572"/>
      <c r="D93" s="572"/>
      <c r="E93" s="67" t="s">
        <v>14</v>
      </c>
      <c r="F93" s="31">
        <v>40</v>
      </c>
      <c r="G93" s="32">
        <v>80</v>
      </c>
      <c r="H93" s="106">
        <f>ROUND(G93*Lapas1!$B$1, 1)</f>
        <v>86.4</v>
      </c>
      <c r="I93" s="106">
        <f>ROUND(H93*Lapas1!$B$1, 1)</f>
        <v>93.3</v>
      </c>
      <c r="J93" s="27"/>
      <c r="K93" s="27"/>
      <c r="L93" s="44"/>
      <c r="M93" s="44"/>
      <c r="N93" s="25"/>
      <c r="O93" s="25"/>
      <c r="P93" s="240"/>
      <c r="Q93" s="240"/>
      <c r="R93" s="236"/>
    </row>
    <row r="94" spans="1:23" s="74" customFormat="1" x14ac:dyDescent="0.2">
      <c r="A94" s="570"/>
      <c r="B94" s="571"/>
      <c r="C94" s="572"/>
      <c r="D94" s="572"/>
      <c r="E94" s="92" t="s">
        <v>22</v>
      </c>
      <c r="F94" s="91">
        <f>SUM(F93:F93)</f>
        <v>40</v>
      </c>
      <c r="G94" s="417">
        <f>SUM(G93:G93)</f>
        <v>80</v>
      </c>
      <c r="H94" s="91">
        <f>SUM(H93:H93)</f>
        <v>86.4</v>
      </c>
      <c r="I94" s="91">
        <f>SUM(I93:I93)</f>
        <v>93.3</v>
      </c>
      <c r="J94" s="27"/>
      <c r="K94" s="27"/>
      <c r="L94" s="44"/>
      <c r="M94" s="44"/>
      <c r="N94" s="25"/>
      <c r="O94" s="25"/>
      <c r="P94" s="240"/>
      <c r="Q94" s="240"/>
      <c r="R94" s="43">
        <f>(G94-F94)/F94</f>
        <v>1</v>
      </c>
    </row>
    <row r="95" spans="1:23" s="74" customFormat="1" x14ac:dyDescent="0.2">
      <c r="A95" s="167" t="s">
        <v>24</v>
      </c>
      <c r="B95" s="169" t="s">
        <v>0</v>
      </c>
      <c r="C95" s="79"/>
      <c r="D95" s="79" t="s">
        <v>18</v>
      </c>
      <c r="E95" s="42" t="s">
        <v>2</v>
      </c>
      <c r="F95" s="40">
        <f>F82+F85+F88+F91+F94</f>
        <v>245</v>
      </c>
      <c r="G95" s="41">
        <f>G82+G85+G88+G91+G94</f>
        <v>278.2</v>
      </c>
      <c r="H95" s="40">
        <f>H82+H85+H88+H91+H94</f>
        <v>300.5</v>
      </c>
      <c r="I95" s="40">
        <f>I82+I85+I88+I91+I94</f>
        <v>324.59999999999997</v>
      </c>
      <c r="J95" s="169"/>
      <c r="K95" s="93"/>
      <c r="L95" s="93"/>
      <c r="M95" s="93"/>
      <c r="N95" s="93"/>
      <c r="O95" s="93"/>
      <c r="P95" s="93"/>
      <c r="Q95" s="93"/>
      <c r="R95" s="236"/>
    </row>
    <row r="96" spans="1:23" s="74" customFormat="1" x14ac:dyDescent="0.2">
      <c r="A96" s="247" t="s">
        <v>24</v>
      </c>
      <c r="B96" s="62"/>
      <c r="C96" s="62"/>
      <c r="D96" s="62"/>
      <c r="E96" s="38" t="s">
        <v>276</v>
      </c>
      <c r="F96" s="36">
        <f>F95</f>
        <v>245</v>
      </c>
      <c r="G96" s="37">
        <f>G95</f>
        <v>278.2</v>
      </c>
      <c r="H96" s="36">
        <f>H95</f>
        <v>300.5</v>
      </c>
      <c r="I96" s="36">
        <f>I95</f>
        <v>324.59999999999997</v>
      </c>
      <c r="J96" s="62"/>
      <c r="K96" s="243"/>
      <c r="L96" s="243"/>
      <c r="M96" s="243"/>
      <c r="N96" s="243"/>
      <c r="O96" s="243"/>
      <c r="P96" s="243"/>
      <c r="Q96" s="243"/>
      <c r="R96" s="236"/>
    </row>
    <row r="97" spans="1:18" s="74" customFormat="1" x14ac:dyDescent="0.2">
      <c r="A97" s="288" t="s">
        <v>25</v>
      </c>
      <c r="B97" s="80"/>
      <c r="C97" s="80"/>
      <c r="D97" s="80"/>
      <c r="E97" s="508" t="s">
        <v>916</v>
      </c>
      <c r="F97" s="508"/>
      <c r="G97" s="508"/>
      <c r="H97" s="508"/>
      <c r="I97" s="508"/>
      <c r="J97" s="508"/>
      <c r="K97" s="508"/>
      <c r="L97" s="508"/>
      <c r="M97" s="508"/>
      <c r="N97" s="508"/>
      <c r="O97" s="508"/>
      <c r="P97" s="508"/>
      <c r="Q97" s="508"/>
      <c r="R97" s="236"/>
    </row>
    <row r="98" spans="1:18" s="74" customFormat="1" ht="25.5" x14ac:dyDescent="0.2">
      <c r="A98" s="288" t="s">
        <v>25</v>
      </c>
      <c r="B98" s="290" t="s">
        <v>0</v>
      </c>
      <c r="C98" s="289"/>
      <c r="D98" s="289" t="s">
        <v>31</v>
      </c>
      <c r="E98" s="505" t="s">
        <v>917</v>
      </c>
      <c r="F98" s="505"/>
      <c r="G98" s="505"/>
      <c r="H98" s="505"/>
      <c r="I98" s="505"/>
      <c r="J98" s="285" t="s">
        <v>586</v>
      </c>
      <c r="K98" s="35" t="s">
        <v>918</v>
      </c>
      <c r="L98" s="35" t="s">
        <v>599</v>
      </c>
      <c r="M98" s="35" t="s">
        <v>11</v>
      </c>
      <c r="N98" s="312">
        <v>10</v>
      </c>
      <c r="O98" s="312">
        <v>12</v>
      </c>
      <c r="P98" s="312">
        <v>15</v>
      </c>
      <c r="Q98" s="286" t="s">
        <v>672</v>
      </c>
      <c r="R98" s="236"/>
    </row>
    <row r="99" spans="1:18" s="74" customFormat="1" ht="23.25" customHeight="1" x14ac:dyDescent="0.2">
      <c r="A99" s="570" t="s">
        <v>25</v>
      </c>
      <c r="B99" s="571" t="s">
        <v>0</v>
      </c>
      <c r="C99" s="572" t="s">
        <v>0</v>
      </c>
      <c r="D99" s="573" t="s">
        <v>21</v>
      </c>
      <c r="E99" s="574" t="s">
        <v>587</v>
      </c>
      <c r="F99" s="574"/>
      <c r="G99" s="574"/>
      <c r="H99" s="574"/>
      <c r="I99" s="574"/>
      <c r="J99" s="575" t="s">
        <v>586</v>
      </c>
      <c r="K99" s="72" t="s">
        <v>919</v>
      </c>
      <c r="L99" s="63" t="s">
        <v>584</v>
      </c>
      <c r="M99" s="72" t="s">
        <v>12</v>
      </c>
      <c r="N99" s="313">
        <v>8</v>
      </c>
      <c r="O99" s="313">
        <v>9</v>
      </c>
      <c r="P99" s="313">
        <v>10</v>
      </c>
      <c r="Q99" s="292" t="s">
        <v>19</v>
      </c>
      <c r="R99" s="236"/>
    </row>
    <row r="100" spans="1:18" s="74" customFormat="1" x14ac:dyDescent="0.2">
      <c r="A100" s="570"/>
      <c r="B100" s="571"/>
      <c r="C100" s="572"/>
      <c r="D100" s="573"/>
      <c r="E100" s="574"/>
      <c r="F100" s="574"/>
      <c r="G100" s="574"/>
      <c r="H100" s="574"/>
      <c r="I100" s="574"/>
      <c r="J100" s="575"/>
      <c r="K100" s="72" t="s">
        <v>920</v>
      </c>
      <c r="L100" s="63" t="s">
        <v>583</v>
      </c>
      <c r="M100" s="72" t="s">
        <v>12</v>
      </c>
      <c r="N100" s="313">
        <v>9</v>
      </c>
      <c r="O100" s="313">
        <v>10</v>
      </c>
      <c r="P100" s="313">
        <v>11</v>
      </c>
      <c r="Q100" s="292" t="s">
        <v>19</v>
      </c>
      <c r="R100" s="236"/>
    </row>
    <row r="101" spans="1:18" s="74" customFormat="1" x14ac:dyDescent="0.2">
      <c r="A101" s="570"/>
      <c r="B101" s="571"/>
      <c r="C101" s="572"/>
      <c r="D101" s="573"/>
      <c r="E101" s="63" t="s">
        <v>14</v>
      </c>
      <c r="F101" s="31">
        <v>59.9</v>
      </c>
      <c r="G101" s="32">
        <v>70</v>
      </c>
      <c r="H101" s="106">
        <f>ROUND(G101*Lapas1!$B$1, 1)</f>
        <v>75.599999999999994</v>
      </c>
      <c r="I101" s="106">
        <f>ROUND(H101*Lapas1!$B$1, 1)</f>
        <v>81.599999999999994</v>
      </c>
      <c r="J101" s="27"/>
      <c r="K101" s="27"/>
      <c r="L101" s="44"/>
      <c r="M101" s="44"/>
      <c r="N101" s="25"/>
      <c r="O101" s="25"/>
      <c r="P101" s="240"/>
      <c r="Q101" s="240"/>
      <c r="R101" s="236"/>
    </row>
    <row r="102" spans="1:18" s="74" customFormat="1" x14ac:dyDescent="0.2">
      <c r="A102" s="570"/>
      <c r="B102" s="571"/>
      <c r="C102" s="572"/>
      <c r="D102" s="573"/>
      <c r="E102" s="90" t="s">
        <v>22</v>
      </c>
      <c r="F102" s="84">
        <f>SUM(F101:F101)</f>
        <v>59.9</v>
      </c>
      <c r="G102" s="85">
        <f>SUM(G101:G101)</f>
        <v>70</v>
      </c>
      <c r="H102" s="84">
        <f>SUM(H101:H101)</f>
        <v>75.599999999999994</v>
      </c>
      <c r="I102" s="84">
        <f>SUM(I101:I101)</f>
        <v>81.599999999999994</v>
      </c>
      <c r="J102" s="27"/>
      <c r="K102" s="27"/>
      <c r="L102" s="44"/>
      <c r="M102" s="44"/>
      <c r="N102" s="25"/>
      <c r="O102" s="25"/>
      <c r="P102" s="240"/>
      <c r="Q102" s="240"/>
      <c r="R102" s="43">
        <f>(G102-F102)/F102</f>
        <v>0.16861435726210353</v>
      </c>
    </row>
    <row r="103" spans="1:18" s="74" customFormat="1" x14ac:dyDescent="0.2">
      <c r="A103" s="288" t="s">
        <v>25</v>
      </c>
      <c r="B103" s="290" t="s">
        <v>0</v>
      </c>
      <c r="C103" s="79"/>
      <c r="D103" s="79" t="s">
        <v>31</v>
      </c>
      <c r="E103" s="42" t="s">
        <v>2</v>
      </c>
      <c r="F103" s="40">
        <f>F102</f>
        <v>59.9</v>
      </c>
      <c r="G103" s="41">
        <f t="shared" ref="G103:I103" si="2">G102</f>
        <v>70</v>
      </c>
      <c r="H103" s="40">
        <f t="shared" si="2"/>
        <v>75.599999999999994</v>
      </c>
      <c r="I103" s="40">
        <f t="shared" si="2"/>
        <v>81.599999999999994</v>
      </c>
      <c r="J103" s="290"/>
      <c r="K103" s="291"/>
      <c r="L103" s="291"/>
      <c r="M103" s="291"/>
      <c r="N103" s="291"/>
      <c r="O103" s="291"/>
      <c r="P103" s="291"/>
      <c r="Q103" s="291"/>
      <c r="R103" s="236"/>
    </row>
    <row r="104" spans="1:18" s="74" customFormat="1" x14ac:dyDescent="0.2">
      <c r="A104" s="247" t="s">
        <v>25</v>
      </c>
      <c r="B104" s="62"/>
      <c r="C104" s="62"/>
      <c r="D104" s="62"/>
      <c r="E104" s="38" t="s">
        <v>276</v>
      </c>
      <c r="F104" s="36">
        <f>F103</f>
        <v>59.9</v>
      </c>
      <c r="G104" s="37">
        <f>G103</f>
        <v>70</v>
      </c>
      <c r="H104" s="36">
        <f>H103</f>
        <v>75.599999999999994</v>
      </c>
      <c r="I104" s="36">
        <f>I103</f>
        <v>81.599999999999994</v>
      </c>
      <c r="J104" s="62"/>
      <c r="K104" s="243"/>
      <c r="L104" s="243"/>
      <c r="M104" s="243"/>
      <c r="N104" s="243"/>
      <c r="O104" s="243"/>
      <c r="P104" s="243"/>
      <c r="Q104" s="243"/>
      <c r="R104" s="236"/>
    </row>
    <row r="105" spans="1:18" s="74" customFormat="1" x14ac:dyDescent="0.2">
      <c r="A105" s="153"/>
      <c r="B105" s="153"/>
      <c r="C105" s="153"/>
      <c r="D105" s="153"/>
      <c r="E105" s="23" t="s">
        <v>277</v>
      </c>
      <c r="F105" s="21">
        <f>F47+F77+F96+F104</f>
        <v>4051.248</v>
      </c>
      <c r="G105" s="22">
        <f>G47+G77+G96+G104</f>
        <v>4167.2439999999997</v>
      </c>
      <c r="H105" s="21">
        <f>H47+H77+H96+H104</f>
        <v>4500.8</v>
      </c>
      <c r="I105" s="21">
        <f>I47+I77+I96+I104</f>
        <v>4860.9000000000015</v>
      </c>
      <c r="J105" s="152"/>
      <c r="K105" s="244"/>
      <c r="L105" s="244"/>
      <c r="M105" s="244"/>
      <c r="N105" s="244"/>
      <c r="O105" s="244"/>
      <c r="P105" s="244"/>
      <c r="Q105" s="244"/>
      <c r="R105" s="236"/>
    </row>
    <row r="106" spans="1:18" ht="42.75" customHeight="1" x14ac:dyDescent="0.2">
      <c r="A106" s="498" t="s">
        <v>876</v>
      </c>
      <c r="B106" s="498"/>
      <c r="C106" s="498"/>
      <c r="D106" s="498"/>
      <c r="E106" s="498"/>
      <c r="F106" s="498"/>
      <c r="G106" s="498"/>
      <c r="H106" s="498"/>
      <c r="I106" s="498"/>
      <c r="J106" s="498"/>
      <c r="K106" s="498"/>
      <c r="R106" s="83"/>
    </row>
    <row r="107" spans="1:18" ht="29.25" customHeight="1" x14ac:dyDescent="0.2">
      <c r="A107" s="444" t="s">
        <v>881</v>
      </c>
      <c r="B107" s="444"/>
      <c r="C107" s="444"/>
      <c r="D107" s="444"/>
      <c r="E107" s="444"/>
      <c r="F107" s="444"/>
      <c r="G107" s="444"/>
      <c r="H107" s="444"/>
      <c r="I107" s="444"/>
      <c r="J107" s="444"/>
      <c r="K107" s="444"/>
    </row>
    <row r="108" spans="1:18" x14ac:dyDescent="0.2">
      <c r="A108" s="20"/>
    </row>
    <row r="109" spans="1:18" x14ac:dyDescent="0.2">
      <c r="A109" s="503" t="s">
        <v>4</v>
      </c>
      <c r="B109" s="503"/>
      <c r="C109" s="503"/>
      <c r="D109" s="503"/>
      <c r="E109" s="503"/>
      <c r="F109" s="503"/>
      <c r="G109" s="503"/>
      <c r="H109" s="503"/>
      <c r="I109" s="503"/>
    </row>
    <row r="110" spans="1:18" ht="26.25" customHeight="1" x14ac:dyDescent="0.2">
      <c r="A110" s="427" t="s">
        <v>13</v>
      </c>
      <c r="B110" s="427"/>
      <c r="C110" s="427"/>
      <c r="D110" s="427"/>
      <c r="E110" s="75" t="s">
        <v>14</v>
      </c>
      <c r="F110" s="17">
        <f>+F101+F19+F25+F31+F37+F43+F55+F63+F70+F74+F81+F84+F87+F90+F93</f>
        <v>3712.3</v>
      </c>
      <c r="G110" s="29">
        <f>+G101+G19+G25+G31+G37+G43+G55+G63+G70+G74+G81+G84+G87+G90+G93</f>
        <v>3885.1000000000004</v>
      </c>
      <c r="H110" s="17">
        <f>+H101+H19+H25+H31+H37+H43+H55+H63+H70+H74+H81+H84+H87+H90+H93</f>
        <v>4195.8999999999996</v>
      </c>
      <c r="I110" s="17">
        <f>+I101+I19+I25+I31+I37+I43+I55+I63+I70+I74+I81+I84+I87+I90+I93</f>
        <v>4531.5999999999995</v>
      </c>
    </row>
    <row r="111" spans="1:18" ht="26.25" customHeight="1" x14ac:dyDescent="0.2">
      <c r="A111" s="427" t="s">
        <v>20</v>
      </c>
      <c r="B111" s="427"/>
      <c r="C111" s="427"/>
      <c r="D111" s="427"/>
      <c r="E111" s="75" t="s">
        <v>15</v>
      </c>
      <c r="F111" s="17">
        <f>F56</f>
        <v>43.048000000000002</v>
      </c>
      <c r="G111" s="29">
        <f t="shared" ref="G111:I111" si="3">G56</f>
        <v>42.643999999999998</v>
      </c>
      <c r="H111" s="17">
        <f t="shared" si="3"/>
        <v>46.1</v>
      </c>
      <c r="I111" s="17">
        <f t="shared" si="3"/>
        <v>49.8</v>
      </c>
    </row>
    <row r="112" spans="1:18" ht="51.75" customHeight="1" x14ac:dyDescent="0.2">
      <c r="A112" s="427" t="s">
        <v>16</v>
      </c>
      <c r="B112" s="427"/>
      <c r="C112" s="427"/>
      <c r="D112" s="427"/>
      <c r="E112" s="75" t="s">
        <v>17</v>
      </c>
      <c r="F112" s="17">
        <f>F20+F26+F32+F38+F44+F57+F64+F71</f>
        <v>295.89999999999998</v>
      </c>
      <c r="G112" s="29">
        <f>G20+G26+G32+G38+G44+G57+G64+G71</f>
        <v>239.5</v>
      </c>
      <c r="H112" s="17">
        <f>H20+H26+H32+H38+H44+H57+H64+H71</f>
        <v>258.8</v>
      </c>
      <c r="I112" s="17">
        <f>I20+I26+I32+I38+I44+I57+I64+I71</f>
        <v>279.5</v>
      </c>
    </row>
    <row r="113" spans="1:9" ht="26.25" customHeight="1" x14ac:dyDescent="0.2">
      <c r="A113" s="427" t="s">
        <v>268</v>
      </c>
      <c r="B113" s="427"/>
      <c r="C113" s="427"/>
      <c r="D113" s="427"/>
      <c r="E113" s="75" t="s">
        <v>269</v>
      </c>
      <c r="F113" s="17"/>
      <c r="G113" s="29"/>
      <c r="H113" s="17"/>
      <c r="I113" s="17"/>
    </row>
    <row r="114" spans="1:9" ht="26.25" customHeight="1" x14ac:dyDescent="0.2">
      <c r="A114" s="427" t="s">
        <v>267</v>
      </c>
      <c r="B114" s="427"/>
      <c r="C114" s="427"/>
      <c r="D114" s="427"/>
      <c r="E114" s="75" t="s">
        <v>18</v>
      </c>
      <c r="F114" s="17"/>
      <c r="G114" s="29"/>
      <c r="H114" s="17"/>
      <c r="I114" s="17"/>
    </row>
    <row r="115" spans="1:9" x14ac:dyDescent="0.2">
      <c r="A115" s="427" t="s">
        <v>179</v>
      </c>
      <c r="B115" s="427"/>
      <c r="C115" s="427"/>
      <c r="D115" s="427"/>
      <c r="E115" s="75" t="s">
        <v>170</v>
      </c>
      <c r="F115" s="17"/>
      <c r="G115" s="29"/>
      <c r="H115" s="17"/>
      <c r="I115" s="17"/>
    </row>
    <row r="116" spans="1:9" ht="27" customHeight="1" x14ac:dyDescent="0.2">
      <c r="A116" s="476" t="s">
        <v>3</v>
      </c>
      <c r="B116" s="476"/>
      <c r="C116" s="476"/>
      <c r="D116" s="476"/>
      <c r="E116" s="476"/>
      <c r="F116" s="53">
        <f>SUM(F110:F115)</f>
        <v>4051.248</v>
      </c>
      <c r="G116" s="54">
        <f>SUM(G110:G115)</f>
        <v>4167.2440000000006</v>
      </c>
      <c r="H116" s="53">
        <f>SUM(H110:H115)</f>
        <v>4500.8</v>
      </c>
      <c r="I116" s="53">
        <f>SUM(I110:I115)</f>
        <v>4860.8999999999996</v>
      </c>
    </row>
    <row r="117" spans="1:9" x14ac:dyDescent="0.2">
      <c r="A117" s="474" t="s">
        <v>7</v>
      </c>
      <c r="B117" s="474"/>
      <c r="C117" s="474"/>
      <c r="D117" s="474"/>
      <c r="E117" s="474"/>
      <c r="F117" s="16"/>
      <c r="G117" s="58"/>
      <c r="H117" s="16"/>
      <c r="I117" s="16"/>
    </row>
    <row r="118" spans="1:9" x14ac:dyDescent="0.2">
      <c r="A118" s="474" t="s">
        <v>5</v>
      </c>
      <c r="B118" s="474"/>
      <c r="C118" s="474"/>
      <c r="D118" s="474"/>
      <c r="E118" s="474"/>
      <c r="F118" s="16">
        <f>F82+F91</f>
        <v>72.5</v>
      </c>
      <c r="G118" s="58">
        <f>G82+G91</f>
        <v>88.2</v>
      </c>
      <c r="H118" s="16">
        <f>H82+H91</f>
        <v>95.3</v>
      </c>
      <c r="I118" s="16">
        <f>I82+I91</f>
        <v>103</v>
      </c>
    </row>
    <row r="119" spans="1:9" x14ac:dyDescent="0.2">
      <c r="A119" s="474" t="s">
        <v>6</v>
      </c>
      <c r="B119" s="474"/>
      <c r="C119" s="474"/>
      <c r="D119" s="474"/>
      <c r="E119" s="474"/>
      <c r="F119" s="16">
        <f>F21+F27+F33+F39+F45+F58+F65+F72+F75+F85+F88+F102+F93</f>
        <v>3978.748</v>
      </c>
      <c r="G119" s="58">
        <f>G21+G27+G33+G39+G45+G58+G65+G72+G75+G85+G88+G102+G93</f>
        <v>4079.0439999999999</v>
      </c>
      <c r="H119" s="16">
        <f>H21+H27+H33+H39+H45+H58+H65+H72+H75+H85+H88+H102+H93</f>
        <v>4405.5</v>
      </c>
      <c r="I119" s="16">
        <f>I21+I27+I33+I39+I45+I58+I65+I72+I75+I85+I88+I102+I93</f>
        <v>4757.9000000000005</v>
      </c>
    </row>
    <row r="120" spans="1:9" x14ac:dyDescent="0.2">
      <c r="F120" s="14"/>
      <c r="G120" s="15"/>
      <c r="H120" s="11"/>
      <c r="I120" s="11"/>
    </row>
    <row r="121" spans="1:9" hidden="1" x14ac:dyDescent="0.2">
      <c r="E121" s="9" t="s">
        <v>23</v>
      </c>
      <c r="F121" s="12">
        <f>F116-F105</f>
        <v>0</v>
      </c>
      <c r="G121" s="13">
        <f>G116-G105</f>
        <v>0</v>
      </c>
      <c r="H121" s="12">
        <f>H116-H105</f>
        <v>0</v>
      </c>
      <c r="I121" s="12">
        <f>I116-I105</f>
        <v>0</v>
      </c>
    </row>
    <row r="122" spans="1:9" hidden="1" x14ac:dyDescent="0.2">
      <c r="F122" s="56">
        <f>F118+F119-F105</f>
        <v>0</v>
      </c>
      <c r="G122" s="57">
        <f>G118+G119-G105</f>
        <v>0</v>
      </c>
      <c r="H122" s="56">
        <f>H118+H119-H105</f>
        <v>0</v>
      </c>
      <c r="I122" s="56">
        <f>I118+I119-I105</f>
        <v>0</v>
      </c>
    </row>
  </sheetData>
  <mergeCells count="140">
    <mergeCell ref="A118:E118"/>
    <mergeCell ref="A119:E119"/>
    <mergeCell ref="A109:I109"/>
    <mergeCell ref="S86:W86"/>
    <mergeCell ref="S80:W80"/>
    <mergeCell ref="S83:W83"/>
    <mergeCell ref="D80:D82"/>
    <mergeCell ref="S89:W89"/>
    <mergeCell ref="A116:E116"/>
    <mergeCell ref="A117:E117"/>
    <mergeCell ref="D83:D85"/>
    <mergeCell ref="D86:D88"/>
    <mergeCell ref="D89:D91"/>
    <mergeCell ref="A114:D114"/>
    <mergeCell ref="A115:D115"/>
    <mergeCell ref="A110:D110"/>
    <mergeCell ref="A111:D111"/>
    <mergeCell ref="A112:D112"/>
    <mergeCell ref="A113:D113"/>
    <mergeCell ref="A106:K106"/>
    <mergeCell ref="A107:K107"/>
    <mergeCell ref="E80:I80"/>
    <mergeCell ref="E83:I83"/>
    <mergeCell ref="E86:I86"/>
    <mergeCell ref="S52:W52"/>
    <mergeCell ref="D52:D58"/>
    <mergeCell ref="D59:D65"/>
    <mergeCell ref="J59:J62"/>
    <mergeCell ref="S59:W59"/>
    <mergeCell ref="J66:J69"/>
    <mergeCell ref="S67:U67"/>
    <mergeCell ref="S68:U68"/>
    <mergeCell ref="S73:W73"/>
    <mergeCell ref="D66:D72"/>
    <mergeCell ref="D73:D75"/>
    <mergeCell ref="A59:A65"/>
    <mergeCell ref="B59:B65"/>
    <mergeCell ref="A89:A91"/>
    <mergeCell ref="B89:B91"/>
    <mergeCell ref="C89:C91"/>
    <mergeCell ref="A83:A85"/>
    <mergeCell ref="B83:B85"/>
    <mergeCell ref="C83:C85"/>
    <mergeCell ref="A86:A88"/>
    <mergeCell ref="B86:B88"/>
    <mergeCell ref="C86:C88"/>
    <mergeCell ref="C59:C65"/>
    <mergeCell ref="A80:A82"/>
    <mergeCell ref="B80:B82"/>
    <mergeCell ref="C80:C82"/>
    <mergeCell ref="A66:A72"/>
    <mergeCell ref="B66:B72"/>
    <mergeCell ref="C66:C72"/>
    <mergeCell ref="A73:A75"/>
    <mergeCell ref="B73:B75"/>
    <mergeCell ref="C73:C75"/>
    <mergeCell ref="R9:R10"/>
    <mergeCell ref="B13:B14"/>
    <mergeCell ref="J13:J14"/>
    <mergeCell ref="J15:J18"/>
    <mergeCell ref="D15:D21"/>
    <mergeCell ref="J22:J24"/>
    <mergeCell ref="D22:D27"/>
    <mergeCell ref="E22:I24"/>
    <mergeCell ref="J28:J30"/>
    <mergeCell ref="D28:D33"/>
    <mergeCell ref="E28:I30"/>
    <mergeCell ref="C13:C14"/>
    <mergeCell ref="B22:B27"/>
    <mergeCell ref="C22:C27"/>
    <mergeCell ref="Q9:Q10"/>
    <mergeCell ref="C34:C39"/>
    <mergeCell ref="A8:P8"/>
    <mergeCell ref="E9:E10"/>
    <mergeCell ref="G9:G10"/>
    <mergeCell ref="F9:F10"/>
    <mergeCell ref="H9:H10"/>
    <mergeCell ref="I9:I10"/>
    <mergeCell ref="J9:J10"/>
    <mergeCell ref="K9:K10"/>
    <mergeCell ref="L9:M9"/>
    <mergeCell ref="N9:P9"/>
    <mergeCell ref="A9:C9"/>
    <mergeCell ref="D9:D10"/>
    <mergeCell ref="E12:Q12"/>
    <mergeCell ref="E13:I14"/>
    <mergeCell ref="E15:I18"/>
    <mergeCell ref="D13:D14"/>
    <mergeCell ref="Q13:Q14"/>
    <mergeCell ref="J34:J36"/>
    <mergeCell ref="D34:D39"/>
    <mergeCell ref="E34:I36"/>
    <mergeCell ref="D92:D94"/>
    <mergeCell ref="E97:Q97"/>
    <mergeCell ref="E98:I98"/>
    <mergeCell ref="A52:A58"/>
    <mergeCell ref="B52:B58"/>
    <mergeCell ref="C52:C58"/>
    <mergeCell ref="A13:A14"/>
    <mergeCell ref="A15:A21"/>
    <mergeCell ref="B15:B21"/>
    <mergeCell ref="C15:C21"/>
    <mergeCell ref="A22:A27"/>
    <mergeCell ref="D40:D45"/>
    <mergeCell ref="B49:B51"/>
    <mergeCell ref="A40:A45"/>
    <mergeCell ref="B40:B45"/>
    <mergeCell ref="C40:C45"/>
    <mergeCell ref="A49:A51"/>
    <mergeCell ref="C49:C51"/>
    <mergeCell ref="D49:D51"/>
    <mergeCell ref="A28:A33"/>
    <mergeCell ref="B28:B33"/>
    <mergeCell ref="C28:C33"/>
    <mergeCell ref="A34:A39"/>
    <mergeCell ref="B34:B39"/>
    <mergeCell ref="J40:J42"/>
    <mergeCell ref="E40:I42"/>
    <mergeCell ref="J49:J51"/>
    <mergeCell ref="J52:J54"/>
    <mergeCell ref="Q49:Q51"/>
    <mergeCell ref="A99:A102"/>
    <mergeCell ref="B99:B102"/>
    <mergeCell ref="C99:C102"/>
    <mergeCell ref="D99:D102"/>
    <mergeCell ref="E99:I100"/>
    <mergeCell ref="J99:J100"/>
    <mergeCell ref="E92:I92"/>
    <mergeCell ref="E48:Q48"/>
    <mergeCell ref="E49:I51"/>
    <mergeCell ref="E52:I54"/>
    <mergeCell ref="E59:I62"/>
    <mergeCell ref="E66:I69"/>
    <mergeCell ref="E73:I73"/>
    <mergeCell ref="E89:I89"/>
    <mergeCell ref="E78:Q78"/>
    <mergeCell ref="E79:I79"/>
    <mergeCell ref="A92:A94"/>
    <mergeCell ref="B92:B94"/>
    <mergeCell ref="C92:C94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rowBreaks count="3" manualBreakCount="3">
    <brk id="27" max="17" man="1"/>
    <brk id="58" max="17" man="1"/>
    <brk id="85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4"/>
  <sheetViews>
    <sheetView zoomScaleNormal="100" workbookViewId="0">
      <pane ySplit="11" topLeftCell="A168" activePane="bottomLeft" state="frozen"/>
      <selection pane="bottomLeft" activeCell="A174" sqref="A174:XFD174"/>
    </sheetView>
  </sheetViews>
  <sheetFormatPr defaultColWidth="9.140625" defaultRowHeight="18" customHeight="1" x14ac:dyDescent="0.2"/>
  <cols>
    <col min="1" max="2" width="5" style="15" customWidth="1"/>
    <col min="3" max="4" width="5" style="10" customWidth="1"/>
    <col min="5" max="5" width="17.7109375" style="10" customWidth="1"/>
    <col min="6" max="6" width="13" style="375" customWidth="1"/>
    <col min="7" max="9" width="13" style="15" customWidth="1"/>
    <col min="10" max="11" width="24.7109375" style="10" customWidth="1"/>
    <col min="12" max="12" width="49.7109375" style="10" customWidth="1"/>
    <col min="13" max="13" width="6.28515625" style="10" customWidth="1"/>
    <col min="14" max="16" width="6.28515625" style="15" customWidth="1"/>
    <col min="17" max="17" width="32.7109375" style="15" customWidth="1"/>
    <col min="18" max="18" width="11.7109375" style="377" hidden="1" customWidth="1"/>
    <col min="19" max="19" width="46.7109375" style="10" customWidth="1"/>
    <col min="20" max="20" width="9.140625" style="10" customWidth="1"/>
    <col min="21" max="16384" width="9.140625" style="10"/>
  </cols>
  <sheetData>
    <row r="1" spans="1:18" ht="14.25" customHeight="1" x14ac:dyDescent="0.2">
      <c r="I1" s="376"/>
      <c r="J1" s="376"/>
      <c r="L1" s="376"/>
      <c r="Q1" s="51" t="str">
        <f>'001'!Q1</f>
        <v>PATVIRTINTA</v>
      </c>
    </row>
    <row r="2" spans="1:18" ht="13.7" customHeight="1" x14ac:dyDescent="0.2">
      <c r="I2" s="376"/>
      <c r="J2" s="376"/>
      <c r="Q2" s="51" t="str">
        <f>'001'!Q2</f>
        <v>Plungės rajono savivaldybės tarybos</v>
      </c>
    </row>
    <row r="3" spans="1:18" ht="13.7" customHeight="1" x14ac:dyDescent="0.2">
      <c r="I3" s="376"/>
      <c r="J3" s="376"/>
      <c r="Q3" s="51" t="str">
        <f>'001'!Q3</f>
        <v>2025 m. vasario 13 d. sprendimu Nr.T1-</v>
      </c>
    </row>
    <row r="4" spans="1:18" ht="12.75" customHeight="1" x14ac:dyDescent="0.2">
      <c r="I4" s="376"/>
      <c r="J4" s="376"/>
      <c r="Q4" s="51" t="str">
        <f>'001'!Q4</f>
        <v xml:space="preserve">Plungės rajono savivaldybės </v>
      </c>
    </row>
    <row r="5" spans="1:18" ht="12.75" customHeight="1" x14ac:dyDescent="0.2">
      <c r="I5" s="376"/>
      <c r="J5" s="376"/>
      <c r="L5" s="323"/>
      <c r="Q5" s="51" t="str">
        <f>'001'!Q5</f>
        <v>2025–2027 metų  strateginio veiklos plano</v>
      </c>
    </row>
    <row r="6" spans="1:18" ht="12.75" x14ac:dyDescent="0.2">
      <c r="L6" s="52"/>
      <c r="Q6" s="51" t="s">
        <v>831</v>
      </c>
    </row>
    <row r="7" spans="1:18" ht="12.75" x14ac:dyDescent="0.2">
      <c r="H7" s="52"/>
    </row>
    <row r="8" spans="1:18" ht="12.75" x14ac:dyDescent="0.2">
      <c r="A8" s="541" t="s">
        <v>1026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378" t="s">
        <v>284</v>
      </c>
      <c r="R8" s="379"/>
    </row>
    <row r="9" spans="1:18" ht="26.25" customHeight="1" x14ac:dyDescent="0.2">
      <c r="A9" s="472" t="str">
        <f>'001'!A9:R11</f>
        <v>Kodas</v>
      </c>
      <c r="B9" s="472"/>
      <c r="C9" s="472"/>
      <c r="D9" s="557" t="str">
        <f>'001'!D9:D10</f>
        <v>Uždavinio/ priemonės požymis *</v>
      </c>
      <c r="E9" s="472" t="str">
        <f>'001'!E9:E10</f>
        <v>Programos tikslo/uždavinio/priemonės pavadinimas ir finansavimo šaltiniai</v>
      </c>
      <c r="F9" s="472" t="str">
        <f>'001'!F9:F10</f>
        <v>2024-ųjų m. asignavimai ir kitos lėšos (2024-12-31 datai)</v>
      </c>
      <c r="G9" s="472" t="str">
        <f>'001'!G9:G10</f>
        <v>2025-ųjų m. asignavimai ir kitos lėšos</v>
      </c>
      <c r="H9" s="472" t="str">
        <f>'001'!H9:H10</f>
        <v>Planuojami   2026-ųjų m. asignavimai ir kitos lėšos</v>
      </c>
      <c r="I9" s="472" t="str">
        <f>'001'!I9:I10</f>
        <v>Planuojami  2027-ųjų m. asignavimai ir kitos lėšos</v>
      </c>
      <c r="J9" s="472" t="str">
        <f>'001'!J9:J10</f>
        <v>Savivaldybės strateginio plėtros plano tikslo/uždavinio kodas**</v>
      </c>
      <c r="K9" s="472" t="str">
        <f>'001'!K9:K10</f>
        <v>Stebėsenos rodiklio kodas</v>
      </c>
      <c r="L9" s="554" t="str">
        <f>'001'!L9:M9</f>
        <v>Stebėsenos rodiklio</v>
      </c>
      <c r="M9" s="554"/>
      <c r="N9" s="554" t="str">
        <f>'001'!N9:P9</f>
        <v>Siektinos stebėsenos rodiklių reikšmės</v>
      </c>
      <c r="O9" s="554"/>
      <c r="P9" s="554"/>
      <c r="Q9" s="554" t="str">
        <f>'001'!Q9:Q10</f>
        <v>Savivaldybės strateginio plėtros plano rodiklio kodas**</v>
      </c>
      <c r="R9" s="555" t="str">
        <f>'001'!R9:R10</f>
        <v>Asignavimų skirtumas (2024 m.- 2025 m.)</v>
      </c>
    </row>
    <row r="10" spans="1:18" ht="82.5" customHeight="1" x14ac:dyDescent="0.2">
      <c r="A10" s="318" t="str">
        <f>'001'!A10</f>
        <v>tikslo</v>
      </c>
      <c r="B10" s="318" t="str">
        <f>'001'!B10</f>
        <v>uždavinio</v>
      </c>
      <c r="C10" s="318" t="str">
        <f>'001'!C10</f>
        <v>priemonės</v>
      </c>
      <c r="D10" s="557"/>
      <c r="E10" s="472"/>
      <c r="F10" s="472"/>
      <c r="G10" s="472"/>
      <c r="H10" s="472"/>
      <c r="I10" s="472"/>
      <c r="J10" s="472"/>
      <c r="K10" s="472"/>
      <c r="L10" s="319" t="str">
        <f>'001'!L10</f>
        <v>pavadinimas</v>
      </c>
      <c r="M10" s="319" t="str">
        <f>'001'!M10</f>
        <v>mato vnt.</v>
      </c>
      <c r="N10" s="319">
        <f>'001'!N10</f>
        <v>2025</v>
      </c>
      <c r="O10" s="319">
        <f>'001'!O10</f>
        <v>2026</v>
      </c>
      <c r="P10" s="319">
        <f>'001'!P10</f>
        <v>2027</v>
      </c>
      <c r="Q10" s="554"/>
      <c r="R10" s="555"/>
    </row>
    <row r="11" spans="1:18" ht="12.75" x14ac:dyDescent="0.2">
      <c r="A11" s="50">
        <f>'001'!A11</f>
        <v>1</v>
      </c>
      <c r="B11" s="50">
        <f>'001'!B11</f>
        <v>2</v>
      </c>
      <c r="C11" s="50">
        <f>'001'!C11</f>
        <v>3</v>
      </c>
      <c r="D11" s="50">
        <f>'001'!D11</f>
        <v>4</v>
      </c>
      <c r="E11" s="50">
        <f>'001'!E11</f>
        <v>5</v>
      </c>
      <c r="F11" s="50">
        <f>'001'!F11</f>
        <v>6</v>
      </c>
      <c r="G11" s="50">
        <f>'001'!G11</f>
        <v>7</v>
      </c>
      <c r="H11" s="50">
        <f>'001'!H11</f>
        <v>8</v>
      </c>
      <c r="I11" s="50">
        <f>'001'!I11</f>
        <v>9</v>
      </c>
      <c r="J11" s="50">
        <f>'001'!J11</f>
        <v>10</v>
      </c>
      <c r="K11" s="50">
        <f>'001'!K11</f>
        <v>11</v>
      </c>
      <c r="L11" s="50">
        <f>'001'!L11</f>
        <v>12</v>
      </c>
      <c r="M11" s="50">
        <f>'001'!M11</f>
        <v>13</v>
      </c>
      <c r="N11" s="50">
        <f>'001'!N11</f>
        <v>14</v>
      </c>
      <c r="O11" s="50">
        <f>'001'!O11</f>
        <v>15</v>
      </c>
      <c r="P11" s="50">
        <f>'001'!P11</f>
        <v>16</v>
      </c>
      <c r="Q11" s="50">
        <f>'001'!Q11</f>
        <v>17</v>
      </c>
      <c r="R11" s="50">
        <f>'001'!R11</f>
        <v>18</v>
      </c>
    </row>
    <row r="12" spans="1:18" s="323" customFormat="1" ht="12.75" x14ac:dyDescent="0.2">
      <c r="A12" s="320" t="s">
        <v>0</v>
      </c>
      <c r="B12" s="321"/>
      <c r="C12" s="321"/>
      <c r="D12" s="321"/>
      <c r="E12" s="542" t="s">
        <v>830</v>
      </c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322"/>
    </row>
    <row r="13" spans="1:18" s="323" customFormat="1" ht="38.25" x14ac:dyDescent="0.2">
      <c r="A13" s="538" t="s">
        <v>0</v>
      </c>
      <c r="B13" s="543" t="s">
        <v>0</v>
      </c>
      <c r="C13" s="543"/>
      <c r="D13" s="543" t="s">
        <v>31</v>
      </c>
      <c r="E13" s="558" t="s">
        <v>829</v>
      </c>
      <c r="F13" s="558"/>
      <c r="G13" s="558"/>
      <c r="H13" s="558"/>
      <c r="I13" s="558"/>
      <c r="J13" s="543" t="s">
        <v>19</v>
      </c>
      <c r="K13" s="324" t="s">
        <v>828</v>
      </c>
      <c r="L13" s="324" t="s">
        <v>827</v>
      </c>
      <c r="M13" s="324" t="s">
        <v>11</v>
      </c>
      <c r="N13" s="380">
        <v>36.6</v>
      </c>
      <c r="O13" s="380">
        <v>37.200000000000003</v>
      </c>
      <c r="P13" s="380">
        <v>38</v>
      </c>
      <c r="Q13" s="380" t="s">
        <v>19</v>
      </c>
      <c r="R13" s="322"/>
    </row>
    <row r="14" spans="1:18" s="323" customFormat="1" ht="25.5" x14ac:dyDescent="0.2">
      <c r="A14" s="538"/>
      <c r="B14" s="543"/>
      <c r="C14" s="543"/>
      <c r="D14" s="543"/>
      <c r="E14" s="558"/>
      <c r="F14" s="558"/>
      <c r="G14" s="558"/>
      <c r="H14" s="558"/>
      <c r="I14" s="558"/>
      <c r="J14" s="543"/>
      <c r="K14" s="324" t="s">
        <v>826</v>
      </c>
      <c r="L14" s="324" t="s">
        <v>825</v>
      </c>
      <c r="M14" s="324" t="s">
        <v>11</v>
      </c>
      <c r="N14" s="380">
        <v>0.97</v>
      </c>
      <c r="O14" s="380">
        <v>1</v>
      </c>
      <c r="P14" s="380">
        <v>1</v>
      </c>
      <c r="Q14" s="380" t="s">
        <v>19</v>
      </c>
      <c r="R14" s="322"/>
    </row>
    <row r="15" spans="1:18" s="383" customFormat="1" ht="12.75" x14ac:dyDescent="0.2">
      <c r="A15" s="605" t="s">
        <v>0</v>
      </c>
      <c r="B15" s="539" t="s">
        <v>0</v>
      </c>
      <c r="C15" s="536" t="s">
        <v>0</v>
      </c>
      <c r="D15" s="536" t="s">
        <v>21</v>
      </c>
      <c r="E15" s="600" t="s">
        <v>824</v>
      </c>
      <c r="F15" s="600"/>
      <c r="G15" s="600"/>
      <c r="H15" s="600"/>
      <c r="I15" s="600"/>
      <c r="J15" s="606" t="s">
        <v>19</v>
      </c>
      <c r="K15" s="95" t="s">
        <v>823</v>
      </c>
      <c r="L15" s="95" t="s">
        <v>822</v>
      </c>
      <c r="M15" s="328" t="s">
        <v>12</v>
      </c>
      <c r="N15" s="381">
        <v>350</v>
      </c>
      <c r="O15" s="381">
        <v>370</v>
      </c>
      <c r="P15" s="381">
        <v>380</v>
      </c>
      <c r="Q15" s="381" t="s">
        <v>19</v>
      </c>
      <c r="R15" s="382"/>
    </row>
    <row r="16" spans="1:18" s="383" customFormat="1" ht="25.5" x14ac:dyDescent="0.2">
      <c r="A16" s="605"/>
      <c r="B16" s="539"/>
      <c r="C16" s="536"/>
      <c r="D16" s="536"/>
      <c r="E16" s="600"/>
      <c r="F16" s="600"/>
      <c r="G16" s="600"/>
      <c r="H16" s="600"/>
      <c r="I16" s="600"/>
      <c r="J16" s="606"/>
      <c r="K16" s="95" t="s">
        <v>821</v>
      </c>
      <c r="L16" s="328" t="s">
        <v>820</v>
      </c>
      <c r="M16" s="328" t="s">
        <v>12</v>
      </c>
      <c r="N16" s="381">
        <v>70</v>
      </c>
      <c r="O16" s="381">
        <v>75</v>
      </c>
      <c r="P16" s="381">
        <v>75</v>
      </c>
      <c r="Q16" s="381" t="s">
        <v>19</v>
      </c>
      <c r="R16" s="382"/>
    </row>
    <row r="17" spans="1:18" s="323" customFormat="1" ht="12.75" x14ac:dyDescent="0.2">
      <c r="A17" s="605"/>
      <c r="B17" s="539"/>
      <c r="C17" s="536"/>
      <c r="D17" s="536"/>
      <c r="E17" s="293" t="s">
        <v>14</v>
      </c>
      <c r="F17" s="32">
        <v>655</v>
      </c>
      <c r="G17" s="32">
        <v>731.3</v>
      </c>
      <c r="H17" s="106">
        <f>ROUND(G17*Lapas1!$B$1, 1)</f>
        <v>789.8</v>
      </c>
      <c r="I17" s="106">
        <f>ROUND(H17*Lapas1!$B$1, 1)</f>
        <v>853</v>
      </c>
      <c r="J17" s="338"/>
      <c r="K17" s="384"/>
      <c r="L17" s="384"/>
      <c r="M17" s="385"/>
      <c r="N17" s="342"/>
      <c r="O17" s="342"/>
      <c r="P17" s="342"/>
      <c r="Q17" s="342"/>
      <c r="R17" s="386"/>
    </row>
    <row r="18" spans="1:18" s="323" customFormat="1" ht="12.75" x14ac:dyDescent="0.2">
      <c r="A18" s="605"/>
      <c r="B18" s="539"/>
      <c r="C18" s="536"/>
      <c r="D18" s="536"/>
      <c r="E18" s="294" t="s">
        <v>22</v>
      </c>
      <c r="F18" s="29">
        <f>SUM(F17:F17)</f>
        <v>655</v>
      </c>
      <c r="G18" s="29">
        <f t="shared" ref="G18:I18" si="0">SUM(G17:G17)</f>
        <v>731.3</v>
      </c>
      <c r="H18" s="29">
        <f t="shared" si="0"/>
        <v>789.8</v>
      </c>
      <c r="I18" s="29">
        <f t="shared" si="0"/>
        <v>853</v>
      </c>
      <c r="J18" s="338"/>
      <c r="K18" s="384"/>
      <c r="L18" s="384"/>
      <c r="M18" s="385"/>
      <c r="N18" s="342"/>
      <c r="O18" s="342"/>
      <c r="P18" s="342"/>
      <c r="Q18" s="342"/>
      <c r="R18" s="334">
        <f>(G18-F18)/F18</f>
        <v>0.11648854961832054</v>
      </c>
    </row>
    <row r="19" spans="1:18" s="323" customFormat="1" ht="12.75" x14ac:dyDescent="0.2">
      <c r="A19" s="605" t="s">
        <v>0</v>
      </c>
      <c r="B19" s="539" t="s">
        <v>0</v>
      </c>
      <c r="C19" s="540" t="s">
        <v>10</v>
      </c>
      <c r="D19" s="540" t="s">
        <v>21</v>
      </c>
      <c r="E19" s="537" t="s">
        <v>819</v>
      </c>
      <c r="F19" s="537"/>
      <c r="G19" s="537"/>
      <c r="H19" s="537"/>
      <c r="I19" s="537"/>
      <c r="J19" s="536" t="s">
        <v>19</v>
      </c>
      <c r="K19" s="328" t="s">
        <v>818</v>
      </c>
      <c r="L19" s="328" t="s">
        <v>817</v>
      </c>
      <c r="M19" s="328" t="s">
        <v>35</v>
      </c>
      <c r="N19" s="387">
        <v>100</v>
      </c>
      <c r="O19" s="387">
        <v>105</v>
      </c>
      <c r="P19" s="388">
        <v>110</v>
      </c>
      <c r="Q19" s="389" t="s">
        <v>19</v>
      </c>
      <c r="R19" s="322"/>
    </row>
    <row r="20" spans="1:18" s="323" customFormat="1" ht="12.75" x14ac:dyDescent="0.2">
      <c r="A20" s="605"/>
      <c r="B20" s="539"/>
      <c r="C20" s="540"/>
      <c r="D20" s="540"/>
      <c r="E20" s="537"/>
      <c r="F20" s="537"/>
      <c r="G20" s="537"/>
      <c r="H20" s="537"/>
      <c r="I20" s="537"/>
      <c r="J20" s="536"/>
      <c r="K20" s="328" t="s">
        <v>816</v>
      </c>
      <c r="L20" s="95" t="s">
        <v>815</v>
      </c>
      <c r="M20" s="328" t="s">
        <v>35</v>
      </c>
      <c r="N20" s="388">
        <v>112</v>
      </c>
      <c r="O20" s="388">
        <v>112</v>
      </c>
      <c r="P20" s="388">
        <v>112</v>
      </c>
      <c r="Q20" s="389" t="s">
        <v>19</v>
      </c>
      <c r="R20" s="322"/>
    </row>
    <row r="21" spans="1:18" s="323" customFormat="1" ht="12.75" x14ac:dyDescent="0.2">
      <c r="A21" s="605"/>
      <c r="B21" s="539"/>
      <c r="C21" s="540"/>
      <c r="D21" s="540"/>
      <c r="E21" s="537"/>
      <c r="F21" s="537"/>
      <c r="G21" s="537"/>
      <c r="H21" s="537"/>
      <c r="I21" s="537"/>
      <c r="J21" s="536"/>
      <c r="K21" s="328" t="s">
        <v>814</v>
      </c>
      <c r="L21" s="328" t="s">
        <v>813</v>
      </c>
      <c r="M21" s="328" t="s">
        <v>35</v>
      </c>
      <c r="N21" s="387">
        <v>137</v>
      </c>
      <c r="O21" s="387">
        <v>140</v>
      </c>
      <c r="P21" s="388">
        <v>140</v>
      </c>
      <c r="Q21" s="389" t="s">
        <v>19</v>
      </c>
      <c r="R21" s="322"/>
    </row>
    <row r="22" spans="1:18" s="323" customFormat="1" ht="12.75" x14ac:dyDescent="0.2">
      <c r="A22" s="605"/>
      <c r="B22" s="539"/>
      <c r="C22" s="540"/>
      <c r="D22" s="540"/>
      <c r="E22" s="293" t="s">
        <v>14</v>
      </c>
      <c r="F22" s="106">
        <v>5577.8</v>
      </c>
      <c r="G22" s="32">
        <f>4934.1+1458.7</f>
        <v>6392.8</v>
      </c>
      <c r="H22" s="106">
        <f>ROUND(G22*Lapas1!$B$1, 1)</f>
        <v>6904.2</v>
      </c>
      <c r="I22" s="106">
        <f>ROUND(H22*Lapas1!$B$1, 1)</f>
        <v>7456.5</v>
      </c>
      <c r="J22" s="338"/>
      <c r="K22" s="384"/>
      <c r="L22" s="384"/>
      <c r="M22" s="385"/>
      <c r="N22" s="342"/>
      <c r="O22" s="342"/>
      <c r="P22" s="342"/>
      <c r="Q22" s="342"/>
      <c r="R22" s="386"/>
    </row>
    <row r="23" spans="1:18" s="323" customFormat="1" ht="12.75" x14ac:dyDescent="0.2">
      <c r="A23" s="605"/>
      <c r="B23" s="539"/>
      <c r="C23" s="540"/>
      <c r="D23" s="540"/>
      <c r="E23" s="293" t="s">
        <v>17</v>
      </c>
      <c r="F23" s="265">
        <v>197.5</v>
      </c>
      <c r="G23" s="32">
        <f>252.6+9.4</f>
        <v>262</v>
      </c>
      <c r="H23" s="106">
        <f>ROUND(G23*Lapas1!$B$3, 1)</f>
        <v>283</v>
      </c>
      <c r="I23" s="106">
        <f>ROUND(H23*Lapas1!$B$3, 1)</f>
        <v>305.60000000000002</v>
      </c>
      <c r="J23" s="338"/>
      <c r="K23" s="384"/>
      <c r="L23" s="384"/>
      <c r="M23" s="385"/>
      <c r="N23" s="342"/>
      <c r="O23" s="342"/>
      <c r="P23" s="342"/>
      <c r="Q23" s="342"/>
      <c r="R23" s="386"/>
    </row>
    <row r="24" spans="1:18" s="323" customFormat="1" ht="12.75" x14ac:dyDescent="0.2">
      <c r="A24" s="605"/>
      <c r="B24" s="539"/>
      <c r="C24" s="540"/>
      <c r="D24" s="540"/>
      <c r="E24" s="294" t="s">
        <v>22</v>
      </c>
      <c r="F24" s="29">
        <f>SUM(F22:F23)</f>
        <v>5775.3</v>
      </c>
      <c r="G24" s="29">
        <f>SUM(G22:G23)</f>
        <v>6654.8</v>
      </c>
      <c r="H24" s="29">
        <f>SUM(H22:H23)</f>
        <v>7187.2</v>
      </c>
      <c r="I24" s="29">
        <f>SUM(I22:I23)</f>
        <v>7762.1</v>
      </c>
      <c r="J24" s="338"/>
      <c r="K24" s="384"/>
      <c r="L24" s="384"/>
      <c r="M24" s="385"/>
      <c r="N24" s="342"/>
      <c r="O24" s="342"/>
      <c r="P24" s="342"/>
      <c r="Q24" s="342"/>
      <c r="R24" s="334">
        <f>(G24-F24)/F24</f>
        <v>0.15228646130936921</v>
      </c>
    </row>
    <row r="25" spans="1:18" s="323" customFormat="1" ht="25.5" x14ac:dyDescent="0.2">
      <c r="A25" s="605" t="s">
        <v>0</v>
      </c>
      <c r="B25" s="539" t="s">
        <v>0</v>
      </c>
      <c r="C25" s="540" t="s">
        <v>24</v>
      </c>
      <c r="D25" s="540" t="s">
        <v>21</v>
      </c>
      <c r="E25" s="600" t="s">
        <v>812</v>
      </c>
      <c r="F25" s="600"/>
      <c r="G25" s="600"/>
      <c r="H25" s="600"/>
      <c r="I25" s="600"/>
      <c r="J25" s="606" t="s">
        <v>19</v>
      </c>
      <c r="K25" s="328" t="s">
        <v>811</v>
      </c>
      <c r="L25" s="328" t="s">
        <v>927</v>
      </c>
      <c r="M25" s="328" t="s">
        <v>12</v>
      </c>
      <c r="N25" s="248">
        <v>1</v>
      </c>
      <c r="O25" s="248">
        <v>1</v>
      </c>
      <c r="P25" s="248">
        <v>1</v>
      </c>
      <c r="Q25" s="248" t="s">
        <v>19</v>
      </c>
      <c r="R25" s="322"/>
    </row>
    <row r="26" spans="1:18" s="323" customFormat="1" ht="12.75" x14ac:dyDescent="0.2">
      <c r="A26" s="605"/>
      <c r="B26" s="539"/>
      <c r="C26" s="540"/>
      <c r="D26" s="540"/>
      <c r="E26" s="600"/>
      <c r="F26" s="600"/>
      <c r="G26" s="600"/>
      <c r="H26" s="600"/>
      <c r="I26" s="600"/>
      <c r="J26" s="606"/>
      <c r="K26" s="328" t="s">
        <v>810</v>
      </c>
      <c r="L26" s="328" t="s">
        <v>808</v>
      </c>
      <c r="M26" s="328" t="s">
        <v>12</v>
      </c>
      <c r="N26" s="248">
        <v>1</v>
      </c>
      <c r="O26" s="248">
        <v>1</v>
      </c>
      <c r="P26" s="248">
        <v>1</v>
      </c>
      <c r="Q26" s="248" t="s">
        <v>19</v>
      </c>
      <c r="R26" s="322"/>
    </row>
    <row r="27" spans="1:18" s="323" customFormat="1" ht="12.75" x14ac:dyDescent="0.2">
      <c r="A27" s="605"/>
      <c r="B27" s="539"/>
      <c r="C27" s="540"/>
      <c r="D27" s="540"/>
      <c r="E27" s="600"/>
      <c r="F27" s="600"/>
      <c r="G27" s="600"/>
      <c r="H27" s="600"/>
      <c r="I27" s="600"/>
      <c r="J27" s="606"/>
      <c r="K27" s="328" t="s">
        <v>809</v>
      </c>
      <c r="L27" s="95" t="s">
        <v>806</v>
      </c>
      <c r="M27" s="328" t="s">
        <v>12</v>
      </c>
      <c r="N27" s="248">
        <v>1</v>
      </c>
      <c r="O27" s="248">
        <v>1</v>
      </c>
      <c r="P27" s="248">
        <v>1</v>
      </c>
      <c r="Q27" s="248" t="s">
        <v>19</v>
      </c>
      <c r="R27" s="322"/>
    </row>
    <row r="28" spans="1:18" s="323" customFormat="1" ht="12.75" x14ac:dyDescent="0.2">
      <c r="A28" s="605"/>
      <c r="B28" s="539"/>
      <c r="C28" s="540"/>
      <c r="D28" s="540"/>
      <c r="E28" s="600"/>
      <c r="F28" s="600"/>
      <c r="G28" s="600"/>
      <c r="H28" s="600"/>
      <c r="I28" s="600"/>
      <c r="J28" s="606"/>
      <c r="K28" s="328" t="s">
        <v>807</v>
      </c>
      <c r="L28" s="383" t="s">
        <v>928</v>
      </c>
      <c r="M28" s="328" t="s">
        <v>12</v>
      </c>
      <c r="N28" s="248">
        <v>1</v>
      </c>
      <c r="O28" s="248">
        <v>1</v>
      </c>
      <c r="P28" s="248">
        <v>1</v>
      </c>
      <c r="Q28" s="248" t="s">
        <v>19</v>
      </c>
      <c r="R28" s="322"/>
    </row>
    <row r="29" spans="1:18" s="323" customFormat="1" ht="12.75" x14ac:dyDescent="0.2">
      <c r="A29" s="605"/>
      <c r="B29" s="539"/>
      <c r="C29" s="540"/>
      <c r="D29" s="540"/>
      <c r="E29" s="293" t="s">
        <v>14</v>
      </c>
      <c r="F29" s="32">
        <v>145.4</v>
      </c>
      <c r="G29" s="32">
        <v>169.5</v>
      </c>
      <c r="H29" s="106">
        <f>ROUND(G29*Lapas1!$B$1, 1)</f>
        <v>183.1</v>
      </c>
      <c r="I29" s="106">
        <f>ROUND(H29*Lapas1!$B$1, 1)</f>
        <v>197.7</v>
      </c>
      <c r="J29" s="338"/>
      <c r="K29" s="384"/>
      <c r="L29" s="384"/>
      <c r="M29" s="385"/>
      <c r="N29" s="342"/>
      <c r="O29" s="342"/>
      <c r="P29" s="342"/>
      <c r="Q29" s="342"/>
      <c r="R29" s="386"/>
    </row>
    <row r="30" spans="1:18" s="323" customFormat="1" ht="12.75" x14ac:dyDescent="0.2">
      <c r="A30" s="605"/>
      <c r="B30" s="539"/>
      <c r="C30" s="540"/>
      <c r="D30" s="540"/>
      <c r="E30" s="294" t="s">
        <v>22</v>
      </c>
      <c r="F30" s="29">
        <f>SUM(F29:F29)</f>
        <v>145.4</v>
      </c>
      <c r="G30" s="29">
        <f>SUM(G29:G29)</f>
        <v>169.5</v>
      </c>
      <c r="H30" s="29">
        <f>SUM(H29:H29)</f>
        <v>183.1</v>
      </c>
      <c r="I30" s="29">
        <f>SUM(I29:I29)</f>
        <v>197.7</v>
      </c>
      <c r="J30" s="338"/>
      <c r="K30" s="384"/>
      <c r="L30" s="384"/>
      <c r="M30" s="385"/>
      <c r="N30" s="342"/>
      <c r="O30" s="342"/>
      <c r="P30" s="342"/>
      <c r="Q30" s="342"/>
      <c r="R30" s="334">
        <f>(G30-F30)/F30</f>
        <v>0.16574965612104534</v>
      </c>
    </row>
    <row r="31" spans="1:18" s="323" customFormat="1" ht="12.75" x14ac:dyDescent="0.2">
      <c r="A31" s="605" t="s">
        <v>0</v>
      </c>
      <c r="B31" s="539" t="s">
        <v>0</v>
      </c>
      <c r="C31" s="540" t="s">
        <v>25</v>
      </c>
      <c r="D31" s="540" t="s">
        <v>21</v>
      </c>
      <c r="E31" s="600" t="s">
        <v>805</v>
      </c>
      <c r="F31" s="600"/>
      <c r="G31" s="600"/>
      <c r="H31" s="600"/>
      <c r="I31" s="600"/>
      <c r="J31" s="536" t="s">
        <v>19</v>
      </c>
      <c r="K31" s="328" t="s">
        <v>804</v>
      </c>
      <c r="L31" s="327" t="s">
        <v>803</v>
      </c>
      <c r="M31" s="327" t="s">
        <v>12</v>
      </c>
      <c r="N31" s="336">
        <v>2792</v>
      </c>
      <c r="O31" s="336">
        <v>2835</v>
      </c>
      <c r="P31" s="336">
        <v>2869</v>
      </c>
      <c r="Q31" s="336" t="s">
        <v>19</v>
      </c>
      <c r="R31" s="322"/>
    </row>
    <row r="32" spans="1:18" s="323" customFormat="1" ht="12.75" x14ac:dyDescent="0.2">
      <c r="A32" s="605"/>
      <c r="B32" s="539"/>
      <c r="C32" s="540"/>
      <c r="D32" s="540"/>
      <c r="E32" s="600"/>
      <c r="F32" s="600"/>
      <c r="G32" s="600"/>
      <c r="H32" s="600"/>
      <c r="I32" s="600"/>
      <c r="J32" s="536"/>
      <c r="K32" s="328" t="s">
        <v>802</v>
      </c>
      <c r="L32" s="327" t="s">
        <v>801</v>
      </c>
      <c r="M32" s="327" t="s">
        <v>12</v>
      </c>
      <c r="N32" s="336">
        <v>2566</v>
      </c>
      <c r="O32" s="336">
        <v>2563</v>
      </c>
      <c r="P32" s="336">
        <v>2567</v>
      </c>
      <c r="Q32" s="336" t="s">
        <v>19</v>
      </c>
      <c r="R32" s="322"/>
    </row>
    <row r="33" spans="1:18" s="323" customFormat="1" ht="25.5" x14ac:dyDescent="0.2">
      <c r="A33" s="605"/>
      <c r="B33" s="539"/>
      <c r="C33" s="540"/>
      <c r="D33" s="540"/>
      <c r="E33" s="600"/>
      <c r="F33" s="600"/>
      <c r="G33" s="600"/>
      <c r="H33" s="600"/>
      <c r="I33" s="600"/>
      <c r="J33" s="536"/>
      <c r="K33" s="328" t="s">
        <v>800</v>
      </c>
      <c r="L33" s="327" t="s">
        <v>799</v>
      </c>
      <c r="M33" s="327" t="s">
        <v>12</v>
      </c>
      <c r="N33" s="336">
        <v>3564</v>
      </c>
      <c r="O33" s="336">
        <v>3508</v>
      </c>
      <c r="P33" s="336">
        <v>3503</v>
      </c>
      <c r="Q33" s="336" t="s">
        <v>19</v>
      </c>
      <c r="R33" s="322"/>
    </row>
    <row r="34" spans="1:18" s="323" customFormat="1" ht="12.75" x14ac:dyDescent="0.2">
      <c r="A34" s="605"/>
      <c r="B34" s="539"/>
      <c r="C34" s="540"/>
      <c r="D34" s="540"/>
      <c r="E34" s="600"/>
      <c r="F34" s="600"/>
      <c r="G34" s="600"/>
      <c r="H34" s="600"/>
      <c r="I34" s="600"/>
      <c r="J34" s="536"/>
      <c r="K34" s="328" t="s">
        <v>798</v>
      </c>
      <c r="L34" s="327" t="s">
        <v>797</v>
      </c>
      <c r="M34" s="327" t="s">
        <v>566</v>
      </c>
      <c r="N34" s="336">
        <v>43.139499999999998</v>
      </c>
      <c r="O34" s="336">
        <v>43.139499999999998</v>
      </c>
      <c r="P34" s="336">
        <v>43.139499999999998</v>
      </c>
      <c r="Q34" s="336" t="s">
        <v>19</v>
      </c>
      <c r="R34" s="322"/>
    </row>
    <row r="35" spans="1:18" s="323" customFormat="1" ht="12.75" x14ac:dyDescent="0.2">
      <c r="A35" s="605"/>
      <c r="B35" s="539"/>
      <c r="C35" s="540"/>
      <c r="D35" s="540"/>
      <c r="E35" s="600"/>
      <c r="F35" s="600"/>
      <c r="G35" s="600"/>
      <c r="H35" s="600"/>
      <c r="I35" s="600"/>
      <c r="J35" s="536"/>
      <c r="K35" s="328" t="s">
        <v>796</v>
      </c>
      <c r="L35" s="327" t="s">
        <v>795</v>
      </c>
      <c r="M35" s="327" t="s">
        <v>734</v>
      </c>
      <c r="N35" s="336">
        <v>1467.413</v>
      </c>
      <c r="O35" s="336">
        <v>1485.71</v>
      </c>
      <c r="P35" s="336">
        <v>1502.713</v>
      </c>
      <c r="Q35" s="336" t="s">
        <v>19</v>
      </c>
      <c r="R35" s="322"/>
    </row>
    <row r="36" spans="1:18" s="323" customFormat="1" ht="12.75" x14ac:dyDescent="0.2">
      <c r="A36" s="605"/>
      <c r="B36" s="539"/>
      <c r="C36" s="540"/>
      <c r="D36" s="540"/>
      <c r="E36" s="600"/>
      <c r="F36" s="600"/>
      <c r="G36" s="600"/>
      <c r="H36" s="600"/>
      <c r="I36" s="600"/>
      <c r="J36" s="536"/>
      <c r="K36" s="328" t="s">
        <v>794</v>
      </c>
      <c r="L36" s="293" t="s">
        <v>793</v>
      </c>
      <c r="M36" s="327" t="s">
        <v>566</v>
      </c>
      <c r="N36" s="336">
        <v>294.57</v>
      </c>
      <c r="O36" s="336">
        <v>265.69</v>
      </c>
      <c r="P36" s="336">
        <v>296.92</v>
      </c>
      <c r="Q36" s="336" t="s">
        <v>19</v>
      </c>
      <c r="R36" s="322"/>
    </row>
    <row r="37" spans="1:18" s="323" customFormat="1" ht="12.75" x14ac:dyDescent="0.2">
      <c r="A37" s="605"/>
      <c r="B37" s="539"/>
      <c r="C37" s="540"/>
      <c r="D37" s="540"/>
      <c r="E37" s="293" t="s">
        <v>14</v>
      </c>
      <c r="F37" s="106">
        <v>1942</v>
      </c>
      <c r="G37" s="32">
        <v>1573.7</v>
      </c>
      <c r="H37" s="106">
        <f>ROUND(G37*Lapas1!$B$1, 1)</f>
        <v>1699.6</v>
      </c>
      <c r="I37" s="106">
        <f>ROUND(H37*Lapas1!$B$1, 1)</f>
        <v>1835.6</v>
      </c>
      <c r="J37" s="338"/>
      <c r="K37" s="384"/>
      <c r="L37" s="384"/>
      <c r="M37" s="385"/>
      <c r="N37" s="342"/>
      <c r="O37" s="342"/>
      <c r="P37" s="342"/>
      <c r="Q37" s="342"/>
      <c r="R37" s="386"/>
    </row>
    <row r="38" spans="1:18" s="323" customFormat="1" ht="12.75" x14ac:dyDescent="0.2">
      <c r="A38" s="605"/>
      <c r="B38" s="539"/>
      <c r="C38" s="540"/>
      <c r="D38" s="540"/>
      <c r="E38" s="293" t="s">
        <v>17</v>
      </c>
      <c r="F38" s="266">
        <v>6.6</v>
      </c>
      <c r="G38" s="32">
        <v>7.6</v>
      </c>
      <c r="H38" s="106">
        <f>ROUND(G38*Lapas1!$B$3, 1)</f>
        <v>8.1999999999999993</v>
      </c>
      <c r="I38" s="106">
        <f>ROUND(H38*Lapas1!$B$3, 1)</f>
        <v>8.9</v>
      </c>
      <c r="J38" s="338"/>
      <c r="K38" s="384"/>
      <c r="L38" s="384"/>
      <c r="M38" s="385"/>
      <c r="N38" s="342"/>
      <c r="O38" s="342"/>
      <c r="P38" s="342"/>
      <c r="Q38" s="342"/>
      <c r="R38" s="386"/>
    </row>
    <row r="39" spans="1:18" s="323" customFormat="1" ht="12.75" x14ac:dyDescent="0.2">
      <c r="A39" s="605"/>
      <c r="B39" s="539"/>
      <c r="C39" s="540"/>
      <c r="D39" s="540"/>
      <c r="E39" s="294" t="s">
        <v>22</v>
      </c>
      <c r="F39" s="29">
        <f>SUM(F37:F38)</f>
        <v>1948.6</v>
      </c>
      <c r="G39" s="29">
        <f>SUM(G37:G38)</f>
        <v>1581.3</v>
      </c>
      <c r="H39" s="29">
        <f>SUM(H37:H38)</f>
        <v>1707.8</v>
      </c>
      <c r="I39" s="29">
        <f>SUM(I37:I38)</f>
        <v>1844.5</v>
      </c>
      <c r="J39" s="338"/>
      <c r="K39" s="384"/>
      <c r="L39" s="384"/>
      <c r="M39" s="385"/>
      <c r="N39" s="342"/>
      <c r="O39" s="342"/>
      <c r="P39" s="342"/>
      <c r="Q39" s="342"/>
      <c r="R39" s="334">
        <f>(G39-F39)/F39</f>
        <v>-0.18849430360258645</v>
      </c>
    </row>
    <row r="40" spans="1:18" s="323" customFormat="1" ht="25.5" x14ac:dyDescent="0.2">
      <c r="A40" s="605" t="s">
        <v>0</v>
      </c>
      <c r="B40" s="539" t="s">
        <v>0</v>
      </c>
      <c r="C40" s="540" t="s">
        <v>26</v>
      </c>
      <c r="D40" s="540" t="s">
        <v>21</v>
      </c>
      <c r="E40" s="600" t="s">
        <v>792</v>
      </c>
      <c r="F40" s="600"/>
      <c r="G40" s="600"/>
      <c r="H40" s="600"/>
      <c r="I40" s="600"/>
      <c r="J40" s="606" t="s">
        <v>19</v>
      </c>
      <c r="K40" s="95" t="s">
        <v>791</v>
      </c>
      <c r="L40" s="95" t="s">
        <v>790</v>
      </c>
      <c r="M40" s="328" t="s">
        <v>12</v>
      </c>
      <c r="N40" s="248">
        <v>46.5</v>
      </c>
      <c r="O40" s="248">
        <v>46.5</v>
      </c>
      <c r="P40" s="248">
        <v>46.5</v>
      </c>
      <c r="Q40" s="248" t="s">
        <v>19</v>
      </c>
      <c r="R40" s="322"/>
    </row>
    <row r="41" spans="1:18" s="323" customFormat="1" ht="25.5" x14ac:dyDescent="0.2">
      <c r="A41" s="605"/>
      <c r="B41" s="539"/>
      <c r="C41" s="540"/>
      <c r="D41" s="540"/>
      <c r="E41" s="600"/>
      <c r="F41" s="600"/>
      <c r="G41" s="600"/>
      <c r="H41" s="600"/>
      <c r="I41" s="600"/>
      <c r="J41" s="606"/>
      <c r="K41" s="95" t="s">
        <v>789</v>
      </c>
      <c r="L41" s="328" t="s">
        <v>788</v>
      </c>
      <c r="M41" s="328" t="s">
        <v>12</v>
      </c>
      <c r="N41" s="248">
        <v>1.25</v>
      </c>
      <c r="O41" s="248">
        <v>1.25</v>
      </c>
      <c r="P41" s="248">
        <v>1.25</v>
      </c>
      <c r="Q41" s="248" t="s">
        <v>19</v>
      </c>
      <c r="R41" s="322"/>
    </row>
    <row r="42" spans="1:18" s="323" customFormat="1" ht="12.75" x14ac:dyDescent="0.2">
      <c r="A42" s="605"/>
      <c r="B42" s="539"/>
      <c r="C42" s="540"/>
      <c r="D42" s="540"/>
      <c r="E42" s="293" t="s">
        <v>14</v>
      </c>
      <c r="F42" s="106">
        <v>1110.2</v>
      </c>
      <c r="G42" s="32">
        <v>1227.0999999999999</v>
      </c>
      <c r="H42" s="106">
        <f>ROUND(G42*Lapas1!$B$1, 1)</f>
        <v>1325.3</v>
      </c>
      <c r="I42" s="106">
        <f>ROUND(H42*Lapas1!$B$1, 1)</f>
        <v>1431.3</v>
      </c>
      <c r="J42" s="338"/>
      <c r="K42" s="384"/>
      <c r="L42" s="384"/>
      <c r="M42" s="385"/>
      <c r="N42" s="342"/>
      <c r="O42" s="342"/>
      <c r="P42" s="342"/>
      <c r="Q42" s="342"/>
      <c r="R42" s="386"/>
    </row>
    <row r="43" spans="1:18" s="323" customFormat="1" ht="12.75" x14ac:dyDescent="0.2">
      <c r="A43" s="605"/>
      <c r="B43" s="539"/>
      <c r="C43" s="540"/>
      <c r="D43" s="540"/>
      <c r="E43" s="293" t="s">
        <v>17</v>
      </c>
      <c r="F43" s="106">
        <v>2</v>
      </c>
      <c r="G43" s="32">
        <v>2.7</v>
      </c>
      <c r="H43" s="106">
        <f>ROUND(G43*Lapas1!$B$3, 1)</f>
        <v>2.9</v>
      </c>
      <c r="I43" s="106">
        <f>ROUND(H43*Lapas1!$B$3, 1)</f>
        <v>3.1</v>
      </c>
      <c r="J43" s="338"/>
      <c r="K43" s="384"/>
      <c r="L43" s="384"/>
      <c r="M43" s="385"/>
      <c r="N43" s="342"/>
      <c r="O43" s="342"/>
      <c r="P43" s="342"/>
      <c r="Q43" s="342"/>
      <c r="R43" s="386"/>
    </row>
    <row r="44" spans="1:18" s="323" customFormat="1" ht="12.75" x14ac:dyDescent="0.2">
      <c r="A44" s="605"/>
      <c r="B44" s="539"/>
      <c r="C44" s="540"/>
      <c r="D44" s="540"/>
      <c r="E44" s="293" t="s">
        <v>15</v>
      </c>
      <c r="F44" s="106">
        <v>33.4</v>
      </c>
      <c r="G44" s="32">
        <v>36.6</v>
      </c>
      <c r="H44" s="106">
        <f>ROUND(G44*Lapas1!$B$2, 1)</f>
        <v>39.5</v>
      </c>
      <c r="I44" s="106">
        <f>ROUND(H44*Lapas1!$B$2, 1)</f>
        <v>42.7</v>
      </c>
      <c r="J44" s="338"/>
      <c r="K44" s="384"/>
      <c r="L44" s="384"/>
      <c r="M44" s="385"/>
      <c r="N44" s="342"/>
      <c r="O44" s="342"/>
      <c r="P44" s="342"/>
      <c r="Q44" s="342"/>
      <c r="R44" s="386"/>
    </row>
    <row r="45" spans="1:18" s="323" customFormat="1" ht="12.75" x14ac:dyDescent="0.2">
      <c r="A45" s="605"/>
      <c r="B45" s="539"/>
      <c r="C45" s="540"/>
      <c r="D45" s="540"/>
      <c r="E45" s="294" t="s">
        <v>22</v>
      </c>
      <c r="F45" s="29">
        <f>SUM(F42:F44)</f>
        <v>1145.6000000000001</v>
      </c>
      <c r="G45" s="29">
        <f>SUM(G42:G44)</f>
        <v>1266.3999999999999</v>
      </c>
      <c r="H45" s="29">
        <f>SUM(H42:H44)</f>
        <v>1367.7</v>
      </c>
      <c r="I45" s="29">
        <f>SUM(I42:I44)</f>
        <v>1477.1</v>
      </c>
      <c r="J45" s="338"/>
      <c r="K45" s="384"/>
      <c r="L45" s="384"/>
      <c r="M45" s="385"/>
      <c r="N45" s="342"/>
      <c r="O45" s="342"/>
      <c r="P45" s="342"/>
      <c r="Q45" s="342"/>
      <c r="R45" s="334">
        <f>(G45-F45)/F45</f>
        <v>0.10544692737430142</v>
      </c>
    </row>
    <row r="46" spans="1:18" s="323" customFormat="1" ht="13.5" x14ac:dyDescent="0.2">
      <c r="A46" s="605" t="s">
        <v>0</v>
      </c>
      <c r="B46" s="539" t="s">
        <v>0</v>
      </c>
      <c r="C46" s="540" t="s">
        <v>27</v>
      </c>
      <c r="D46" s="540" t="s">
        <v>21</v>
      </c>
      <c r="E46" s="600" t="s">
        <v>787</v>
      </c>
      <c r="F46" s="600"/>
      <c r="G46" s="600"/>
      <c r="H46" s="600"/>
      <c r="I46" s="600"/>
      <c r="J46" s="390" t="s">
        <v>19</v>
      </c>
      <c r="K46" s="95" t="s">
        <v>786</v>
      </c>
      <c r="L46" s="95" t="s">
        <v>785</v>
      </c>
      <c r="M46" s="328" t="s">
        <v>35</v>
      </c>
      <c r="N46" s="248">
        <v>2</v>
      </c>
      <c r="O46" s="248">
        <v>2</v>
      </c>
      <c r="P46" s="248">
        <v>2</v>
      </c>
      <c r="Q46" s="248" t="s">
        <v>19</v>
      </c>
      <c r="R46" s="322"/>
    </row>
    <row r="47" spans="1:18" s="323" customFormat="1" ht="12.75" x14ac:dyDescent="0.2">
      <c r="A47" s="605"/>
      <c r="B47" s="539"/>
      <c r="C47" s="540"/>
      <c r="D47" s="540"/>
      <c r="E47" s="95" t="s">
        <v>14</v>
      </c>
      <c r="F47" s="32">
        <v>100</v>
      </c>
      <c r="G47" s="32">
        <v>110</v>
      </c>
      <c r="H47" s="106">
        <f>ROUND(G47*Lapas1!$B$1, 1)</f>
        <v>118.8</v>
      </c>
      <c r="I47" s="106">
        <f>ROUND(H47*Lapas1!$B$1, 1)</f>
        <v>128.30000000000001</v>
      </c>
      <c r="J47" s="338"/>
      <c r="K47" s="384"/>
      <c r="L47" s="384"/>
      <c r="M47" s="385"/>
      <c r="N47" s="342"/>
      <c r="O47" s="342"/>
      <c r="P47" s="342"/>
      <c r="Q47" s="342"/>
      <c r="R47" s="386"/>
    </row>
    <row r="48" spans="1:18" s="323" customFormat="1" ht="12.75" x14ac:dyDescent="0.2">
      <c r="A48" s="605"/>
      <c r="B48" s="539"/>
      <c r="C48" s="540"/>
      <c r="D48" s="540"/>
      <c r="E48" s="294" t="s">
        <v>22</v>
      </c>
      <c r="F48" s="29">
        <f>SUM(F47:F47)</f>
        <v>100</v>
      </c>
      <c r="G48" s="29">
        <f>SUM(G47:G47)</f>
        <v>110</v>
      </c>
      <c r="H48" s="29">
        <f>SUM(H47:H47)</f>
        <v>118.8</v>
      </c>
      <c r="I48" s="29">
        <f>SUM(I47:I47)</f>
        <v>128.30000000000001</v>
      </c>
      <c r="J48" s="338"/>
      <c r="K48" s="384"/>
      <c r="L48" s="384"/>
      <c r="M48" s="385"/>
      <c r="N48" s="342"/>
      <c r="O48" s="342"/>
      <c r="P48" s="342"/>
      <c r="Q48" s="342"/>
      <c r="R48" s="334">
        <f>(G48-F48)/F48</f>
        <v>0.1</v>
      </c>
    </row>
    <row r="49" spans="1:18" s="323" customFormat="1" ht="12.75" x14ac:dyDescent="0.2">
      <c r="A49" s="351" t="s">
        <v>0</v>
      </c>
      <c r="B49" s="343" t="s">
        <v>0</v>
      </c>
      <c r="C49" s="308"/>
      <c r="D49" s="344" t="s">
        <v>31</v>
      </c>
      <c r="E49" s="345" t="s">
        <v>275</v>
      </c>
      <c r="F49" s="41">
        <f>F18+F24+F30+F39+F45+F48</f>
        <v>9769.9</v>
      </c>
      <c r="G49" s="41">
        <f>G18+G24+G30+G39+G45+G48</f>
        <v>10513.3</v>
      </c>
      <c r="H49" s="41">
        <f>H18+H24+H30+H39+H45+H48</f>
        <v>11354.4</v>
      </c>
      <c r="I49" s="41">
        <f>I18+I24+I30+I39+I45+I48</f>
        <v>12262.7</v>
      </c>
      <c r="J49" s="346"/>
      <c r="K49" s="347"/>
      <c r="L49" s="347"/>
      <c r="M49" s="347"/>
      <c r="N49" s="348"/>
      <c r="O49" s="348"/>
      <c r="P49" s="348"/>
      <c r="Q49" s="348"/>
      <c r="R49" s="322"/>
    </row>
    <row r="50" spans="1:18" s="323" customFormat="1" ht="12.75" x14ac:dyDescent="0.2">
      <c r="A50" s="320" t="s">
        <v>0</v>
      </c>
      <c r="B50" s="343" t="s">
        <v>10</v>
      </c>
      <c r="C50" s="308"/>
      <c r="D50" s="82" t="s">
        <v>31</v>
      </c>
      <c r="E50" s="558" t="s">
        <v>784</v>
      </c>
      <c r="F50" s="558"/>
      <c r="G50" s="558"/>
      <c r="H50" s="558"/>
      <c r="I50" s="558"/>
      <c r="J50" s="82" t="s">
        <v>19</v>
      </c>
      <c r="K50" s="324" t="s">
        <v>783</v>
      </c>
      <c r="L50" s="324" t="s">
        <v>782</v>
      </c>
      <c r="M50" s="324" t="s">
        <v>11</v>
      </c>
      <c r="N50" s="308">
        <v>100</v>
      </c>
      <c r="O50" s="308">
        <v>100</v>
      </c>
      <c r="P50" s="308">
        <v>100</v>
      </c>
      <c r="Q50" s="308" t="s">
        <v>19</v>
      </c>
      <c r="R50" s="322"/>
    </row>
    <row r="51" spans="1:18" s="323" customFormat="1" ht="25.5" x14ac:dyDescent="0.2">
      <c r="A51" s="538" t="s">
        <v>0</v>
      </c>
      <c r="B51" s="567" t="s">
        <v>10</v>
      </c>
      <c r="C51" s="540" t="s">
        <v>0</v>
      </c>
      <c r="D51" s="540" t="s">
        <v>21</v>
      </c>
      <c r="E51" s="537" t="s">
        <v>781</v>
      </c>
      <c r="F51" s="537"/>
      <c r="G51" s="537"/>
      <c r="H51" s="537"/>
      <c r="I51" s="537"/>
      <c r="J51" s="326" t="s">
        <v>19</v>
      </c>
      <c r="K51" s="95" t="s">
        <v>780</v>
      </c>
      <c r="L51" s="95" t="s">
        <v>779</v>
      </c>
      <c r="M51" s="328" t="s">
        <v>12</v>
      </c>
      <c r="N51" s="248">
        <v>31</v>
      </c>
      <c r="O51" s="248">
        <v>31</v>
      </c>
      <c r="P51" s="248">
        <v>31</v>
      </c>
      <c r="Q51" s="248" t="s">
        <v>19</v>
      </c>
      <c r="R51" s="322"/>
    </row>
    <row r="52" spans="1:18" s="323" customFormat="1" ht="12.75" x14ac:dyDescent="0.2">
      <c r="A52" s="538"/>
      <c r="B52" s="567"/>
      <c r="C52" s="540"/>
      <c r="D52" s="540"/>
      <c r="E52" s="293" t="s">
        <v>15</v>
      </c>
      <c r="F52" s="32">
        <v>0.2</v>
      </c>
      <c r="G52" s="32">
        <v>0.2</v>
      </c>
      <c r="H52" s="106">
        <f>ROUND(G52*Lapas1!$B$2, 1)</f>
        <v>0.2</v>
      </c>
      <c r="I52" s="106">
        <f>ROUND(H52*Lapas1!$B$2, 1)</f>
        <v>0.2</v>
      </c>
      <c r="J52" s="338"/>
      <c r="K52" s="384"/>
      <c r="L52" s="384"/>
      <c r="M52" s="385"/>
      <c r="N52" s="342"/>
      <c r="O52" s="342"/>
      <c r="P52" s="342"/>
      <c r="Q52" s="342"/>
      <c r="R52" s="386"/>
    </row>
    <row r="53" spans="1:18" s="323" customFormat="1" ht="12.75" x14ac:dyDescent="0.2">
      <c r="A53" s="538"/>
      <c r="B53" s="567"/>
      <c r="C53" s="540"/>
      <c r="D53" s="540"/>
      <c r="E53" s="294" t="s">
        <v>22</v>
      </c>
      <c r="F53" s="29">
        <f>SUM(F52:F52)</f>
        <v>0.2</v>
      </c>
      <c r="G53" s="29">
        <f>SUM(G52:G52)</f>
        <v>0.2</v>
      </c>
      <c r="H53" s="29">
        <f>SUM(H52:H52)</f>
        <v>0.2</v>
      </c>
      <c r="I53" s="29">
        <f>SUM(I52:I52)</f>
        <v>0.2</v>
      </c>
      <c r="J53" s="338"/>
      <c r="K53" s="384"/>
      <c r="L53" s="384"/>
      <c r="M53" s="385"/>
      <c r="N53" s="342"/>
      <c r="O53" s="342"/>
      <c r="P53" s="342"/>
      <c r="Q53" s="342"/>
      <c r="R53" s="334">
        <f>(G53-F53)/F53</f>
        <v>0</v>
      </c>
    </row>
    <row r="54" spans="1:18" s="323" customFormat="1" ht="25.5" x14ac:dyDescent="0.2">
      <c r="A54" s="538" t="s">
        <v>0</v>
      </c>
      <c r="B54" s="567" t="s">
        <v>10</v>
      </c>
      <c r="C54" s="601" t="s">
        <v>10</v>
      </c>
      <c r="D54" s="601" t="s">
        <v>21</v>
      </c>
      <c r="E54" s="600" t="s">
        <v>778</v>
      </c>
      <c r="F54" s="600"/>
      <c r="G54" s="600"/>
      <c r="H54" s="600"/>
      <c r="I54" s="600"/>
      <c r="J54" s="390" t="s">
        <v>19</v>
      </c>
      <c r="K54" s="95" t="s">
        <v>777</v>
      </c>
      <c r="L54" s="95" t="s">
        <v>776</v>
      </c>
      <c r="M54" s="328" t="s">
        <v>775</v>
      </c>
      <c r="N54" s="248">
        <v>75</v>
      </c>
      <c r="O54" s="248">
        <v>75</v>
      </c>
      <c r="P54" s="248">
        <v>75</v>
      </c>
      <c r="Q54" s="248" t="s">
        <v>19</v>
      </c>
      <c r="R54" s="322"/>
    </row>
    <row r="55" spans="1:18" s="323" customFormat="1" ht="12.75" x14ac:dyDescent="0.2">
      <c r="A55" s="538"/>
      <c r="B55" s="567"/>
      <c r="C55" s="601"/>
      <c r="D55" s="601"/>
      <c r="E55" s="293" t="s">
        <v>15</v>
      </c>
      <c r="F55" s="32">
        <v>16.5</v>
      </c>
      <c r="G55" s="32">
        <v>17.2</v>
      </c>
      <c r="H55" s="106">
        <f>ROUND(G55*Lapas1!$B$2, 1)</f>
        <v>18.600000000000001</v>
      </c>
      <c r="I55" s="106">
        <f>ROUND(H55*Lapas1!$B$2, 1)</f>
        <v>20.100000000000001</v>
      </c>
      <c r="J55" s="338"/>
      <c r="K55" s="384"/>
      <c r="L55" s="384"/>
      <c r="M55" s="385"/>
      <c r="N55" s="342"/>
      <c r="O55" s="342"/>
      <c r="P55" s="342"/>
      <c r="Q55" s="342"/>
      <c r="R55" s="386"/>
    </row>
    <row r="56" spans="1:18" s="323" customFormat="1" ht="12.75" x14ac:dyDescent="0.2">
      <c r="A56" s="538"/>
      <c r="B56" s="567"/>
      <c r="C56" s="601"/>
      <c r="D56" s="601"/>
      <c r="E56" s="294" t="s">
        <v>22</v>
      </c>
      <c r="F56" s="29">
        <f>SUM(F55:F55)</f>
        <v>16.5</v>
      </c>
      <c r="G56" s="29">
        <f>SUM(G55:G55)</f>
        <v>17.2</v>
      </c>
      <c r="H56" s="29">
        <f>SUM(H55:H55)</f>
        <v>18.600000000000001</v>
      </c>
      <c r="I56" s="29">
        <f>SUM(I55:I55)</f>
        <v>20.100000000000001</v>
      </c>
      <c r="J56" s="338"/>
      <c r="K56" s="384"/>
      <c r="L56" s="384"/>
      <c r="M56" s="385"/>
      <c r="N56" s="342"/>
      <c r="O56" s="342"/>
      <c r="P56" s="342"/>
      <c r="Q56" s="342"/>
      <c r="R56" s="334">
        <f>(G56-F56)/F56</f>
        <v>4.2424242424242378E-2</v>
      </c>
    </row>
    <row r="57" spans="1:18" s="323" customFormat="1" ht="25.5" x14ac:dyDescent="0.2">
      <c r="A57" s="538" t="s">
        <v>0</v>
      </c>
      <c r="B57" s="567" t="s">
        <v>10</v>
      </c>
      <c r="C57" s="540" t="s">
        <v>24</v>
      </c>
      <c r="D57" s="540" t="s">
        <v>21</v>
      </c>
      <c r="E57" s="600" t="s">
        <v>774</v>
      </c>
      <c r="F57" s="600"/>
      <c r="G57" s="600"/>
      <c r="H57" s="600"/>
      <c r="I57" s="600"/>
      <c r="J57" s="390" t="s">
        <v>19</v>
      </c>
      <c r="K57" s="95" t="s">
        <v>773</v>
      </c>
      <c r="L57" s="95" t="s">
        <v>772</v>
      </c>
      <c r="M57" s="328" t="s">
        <v>12</v>
      </c>
      <c r="N57" s="248">
        <v>1</v>
      </c>
      <c r="O57" s="248">
        <v>1</v>
      </c>
      <c r="P57" s="248">
        <v>1</v>
      </c>
      <c r="Q57" s="248" t="s">
        <v>19</v>
      </c>
      <c r="R57" s="322"/>
    </row>
    <row r="58" spans="1:18" s="323" customFormat="1" ht="12.75" x14ac:dyDescent="0.2">
      <c r="A58" s="538"/>
      <c r="B58" s="567"/>
      <c r="C58" s="540"/>
      <c r="D58" s="540"/>
      <c r="E58" s="293" t="s">
        <v>15</v>
      </c>
      <c r="F58" s="32">
        <v>8</v>
      </c>
      <c r="G58" s="32">
        <v>8</v>
      </c>
      <c r="H58" s="106">
        <f>ROUND(G58*Lapas1!$B$2, 1)</f>
        <v>8.6</v>
      </c>
      <c r="I58" s="106">
        <f>ROUND(H58*Lapas1!$B$2, 1)</f>
        <v>9.3000000000000007</v>
      </c>
      <c r="J58" s="338"/>
      <c r="K58" s="384"/>
      <c r="L58" s="384"/>
      <c r="M58" s="385"/>
      <c r="N58" s="342"/>
      <c r="O58" s="342"/>
      <c r="P58" s="342"/>
      <c r="Q58" s="342"/>
      <c r="R58" s="386"/>
    </row>
    <row r="59" spans="1:18" s="323" customFormat="1" ht="12.75" x14ac:dyDescent="0.2">
      <c r="A59" s="538"/>
      <c r="B59" s="567"/>
      <c r="C59" s="540"/>
      <c r="D59" s="540"/>
      <c r="E59" s="294" t="s">
        <v>22</v>
      </c>
      <c r="F59" s="29">
        <f>SUM(F58:F58)</f>
        <v>8</v>
      </c>
      <c r="G59" s="29">
        <f>SUM(G58:G58)</f>
        <v>8</v>
      </c>
      <c r="H59" s="29">
        <f>SUM(H58:H58)</f>
        <v>8.6</v>
      </c>
      <c r="I59" s="29">
        <f>SUM(I58:I58)</f>
        <v>9.3000000000000007</v>
      </c>
      <c r="J59" s="338"/>
      <c r="K59" s="384"/>
      <c r="L59" s="384"/>
      <c r="M59" s="385"/>
      <c r="N59" s="342"/>
      <c r="O59" s="342"/>
      <c r="P59" s="342"/>
      <c r="Q59" s="342"/>
      <c r="R59" s="334">
        <f>(G59-F59)/F59</f>
        <v>0</v>
      </c>
    </row>
    <row r="60" spans="1:18" s="323" customFormat="1" ht="25.5" x14ac:dyDescent="0.2">
      <c r="A60" s="538" t="s">
        <v>0</v>
      </c>
      <c r="B60" s="567" t="s">
        <v>10</v>
      </c>
      <c r="C60" s="540" t="s">
        <v>25</v>
      </c>
      <c r="D60" s="540" t="s">
        <v>21</v>
      </c>
      <c r="E60" s="600" t="s">
        <v>771</v>
      </c>
      <c r="F60" s="600"/>
      <c r="G60" s="600"/>
      <c r="H60" s="600"/>
      <c r="I60" s="600"/>
      <c r="J60" s="606" t="s">
        <v>19</v>
      </c>
      <c r="K60" s="95" t="s">
        <v>770</v>
      </c>
      <c r="L60" s="95" t="s">
        <v>929</v>
      </c>
      <c r="M60" s="328" t="s">
        <v>12</v>
      </c>
      <c r="N60" s="248">
        <v>1900</v>
      </c>
      <c r="O60" s="248">
        <v>1900</v>
      </c>
      <c r="P60" s="248">
        <v>1900</v>
      </c>
      <c r="Q60" s="248" t="s">
        <v>19</v>
      </c>
      <c r="R60" s="322"/>
    </row>
    <row r="61" spans="1:18" s="323" customFormat="1" ht="12.75" x14ac:dyDescent="0.2">
      <c r="A61" s="538"/>
      <c r="B61" s="567"/>
      <c r="C61" s="540"/>
      <c r="D61" s="540"/>
      <c r="E61" s="600"/>
      <c r="F61" s="600"/>
      <c r="G61" s="600"/>
      <c r="H61" s="600"/>
      <c r="I61" s="600"/>
      <c r="J61" s="606"/>
      <c r="K61" s="95" t="s">
        <v>769</v>
      </c>
      <c r="L61" s="95" t="s">
        <v>731</v>
      </c>
      <c r="M61" s="328" t="s">
        <v>12</v>
      </c>
      <c r="N61" s="248">
        <v>100</v>
      </c>
      <c r="O61" s="248">
        <v>100</v>
      </c>
      <c r="P61" s="248">
        <v>100</v>
      </c>
      <c r="Q61" s="248" t="s">
        <v>19</v>
      </c>
      <c r="R61" s="322"/>
    </row>
    <row r="62" spans="1:18" s="323" customFormat="1" ht="12.75" x14ac:dyDescent="0.2">
      <c r="A62" s="538"/>
      <c r="B62" s="567"/>
      <c r="C62" s="540"/>
      <c r="D62" s="540"/>
      <c r="E62" s="600"/>
      <c r="F62" s="600"/>
      <c r="G62" s="600"/>
      <c r="H62" s="600"/>
      <c r="I62" s="600"/>
      <c r="J62" s="606"/>
      <c r="K62" s="95" t="s">
        <v>768</v>
      </c>
      <c r="L62" s="95" t="s">
        <v>767</v>
      </c>
      <c r="M62" s="328" t="s">
        <v>12</v>
      </c>
      <c r="N62" s="248">
        <v>1800</v>
      </c>
      <c r="O62" s="248">
        <v>1800</v>
      </c>
      <c r="P62" s="248">
        <v>1800</v>
      </c>
      <c r="Q62" s="248" t="s">
        <v>19</v>
      </c>
      <c r="R62" s="322"/>
    </row>
    <row r="63" spans="1:18" s="323" customFormat="1" ht="12.75" x14ac:dyDescent="0.2">
      <c r="A63" s="538"/>
      <c r="B63" s="567"/>
      <c r="C63" s="540"/>
      <c r="D63" s="540"/>
      <c r="E63" s="293" t="s">
        <v>15</v>
      </c>
      <c r="F63" s="32">
        <v>29.7</v>
      </c>
      <c r="G63" s="32">
        <v>29</v>
      </c>
      <c r="H63" s="106">
        <f>ROUND(G63*Lapas1!$B$2, 1)</f>
        <v>31.3</v>
      </c>
      <c r="I63" s="106">
        <f>ROUND(H63*Lapas1!$B$2, 1)</f>
        <v>33.799999999999997</v>
      </c>
      <c r="J63" s="338"/>
      <c r="K63" s="384"/>
      <c r="L63" s="384"/>
      <c r="M63" s="385"/>
      <c r="N63" s="342"/>
      <c r="O63" s="342"/>
      <c r="P63" s="342"/>
      <c r="Q63" s="342"/>
      <c r="R63" s="386"/>
    </row>
    <row r="64" spans="1:18" s="323" customFormat="1" ht="12.75" x14ac:dyDescent="0.2">
      <c r="A64" s="538"/>
      <c r="B64" s="567"/>
      <c r="C64" s="540"/>
      <c r="D64" s="540"/>
      <c r="E64" s="294" t="s">
        <v>22</v>
      </c>
      <c r="F64" s="29">
        <f>SUM(F63:F63)</f>
        <v>29.7</v>
      </c>
      <c r="G64" s="29">
        <f>SUM(G63:G63)</f>
        <v>29</v>
      </c>
      <c r="H64" s="29">
        <f>SUM(H63:H63)</f>
        <v>31.3</v>
      </c>
      <c r="I64" s="29">
        <f>SUM(I63:I63)</f>
        <v>33.799999999999997</v>
      </c>
      <c r="J64" s="338"/>
      <c r="K64" s="384"/>
      <c r="L64" s="384"/>
      <c r="M64" s="385"/>
      <c r="N64" s="342"/>
      <c r="O64" s="342"/>
      <c r="P64" s="342"/>
      <c r="Q64" s="342"/>
      <c r="R64" s="334">
        <f>(G64-F64)/F64</f>
        <v>-2.3569023569023545E-2</v>
      </c>
    </row>
    <row r="65" spans="1:18" s="323" customFormat="1" ht="13.5" x14ac:dyDescent="0.2">
      <c r="A65" s="538" t="s">
        <v>0</v>
      </c>
      <c r="B65" s="567" t="s">
        <v>10</v>
      </c>
      <c r="C65" s="540" t="s">
        <v>26</v>
      </c>
      <c r="D65" s="540" t="s">
        <v>21</v>
      </c>
      <c r="E65" s="600" t="s">
        <v>766</v>
      </c>
      <c r="F65" s="600"/>
      <c r="G65" s="600"/>
      <c r="H65" s="600"/>
      <c r="I65" s="600"/>
      <c r="J65" s="390" t="s">
        <v>19</v>
      </c>
      <c r="K65" s="95" t="s">
        <v>765</v>
      </c>
      <c r="L65" s="95" t="s">
        <v>764</v>
      </c>
      <c r="M65" s="328" t="s">
        <v>12</v>
      </c>
      <c r="N65" s="248">
        <v>290</v>
      </c>
      <c r="O65" s="248">
        <v>300</v>
      </c>
      <c r="P65" s="248">
        <v>310</v>
      </c>
      <c r="Q65" s="248" t="s">
        <v>19</v>
      </c>
      <c r="R65" s="322"/>
    </row>
    <row r="66" spans="1:18" s="323" customFormat="1" ht="12.75" x14ac:dyDescent="0.2">
      <c r="A66" s="538"/>
      <c r="B66" s="567"/>
      <c r="C66" s="540"/>
      <c r="D66" s="540"/>
      <c r="E66" s="293" t="s">
        <v>15</v>
      </c>
      <c r="F66" s="32">
        <v>7.4</v>
      </c>
      <c r="G66" s="32">
        <v>8.2200000000000006</v>
      </c>
      <c r="H66" s="106">
        <f>ROUND(G66*Lapas1!$B$2, 1)</f>
        <v>8.9</v>
      </c>
      <c r="I66" s="106">
        <f>ROUND(H66*Lapas1!$B$2, 1)</f>
        <v>9.6</v>
      </c>
      <c r="J66" s="338"/>
      <c r="K66" s="384"/>
      <c r="L66" s="384"/>
      <c r="M66" s="385"/>
      <c r="N66" s="342"/>
      <c r="O66" s="342"/>
      <c r="P66" s="342"/>
      <c r="Q66" s="342"/>
      <c r="R66" s="386"/>
    </row>
    <row r="67" spans="1:18" s="323" customFormat="1" ht="12.75" x14ac:dyDescent="0.2">
      <c r="A67" s="538"/>
      <c r="B67" s="567"/>
      <c r="C67" s="540"/>
      <c r="D67" s="540"/>
      <c r="E67" s="294" t="s">
        <v>22</v>
      </c>
      <c r="F67" s="29">
        <f>SUM(F66:F66)</f>
        <v>7.4</v>
      </c>
      <c r="G67" s="29">
        <f>SUM(G66:G66)</f>
        <v>8.2200000000000006</v>
      </c>
      <c r="H67" s="29">
        <f>SUM(H66:H66)</f>
        <v>8.9</v>
      </c>
      <c r="I67" s="29">
        <f>SUM(I66:I66)</f>
        <v>9.6</v>
      </c>
      <c r="J67" s="338"/>
      <c r="K67" s="384"/>
      <c r="L67" s="384"/>
      <c r="M67" s="385"/>
      <c r="N67" s="342"/>
      <c r="O67" s="342"/>
      <c r="P67" s="342"/>
      <c r="Q67" s="342"/>
      <c r="R67" s="334">
        <f>(G67-F67)/F67</f>
        <v>0.11081081081081084</v>
      </c>
    </row>
    <row r="68" spans="1:18" s="323" customFormat="1" ht="13.5" x14ac:dyDescent="0.2">
      <c r="A68" s="538" t="s">
        <v>0</v>
      </c>
      <c r="B68" s="567" t="s">
        <v>10</v>
      </c>
      <c r="C68" s="540" t="s">
        <v>27</v>
      </c>
      <c r="D68" s="540" t="s">
        <v>21</v>
      </c>
      <c r="E68" s="600" t="s">
        <v>763</v>
      </c>
      <c r="F68" s="600"/>
      <c r="G68" s="600"/>
      <c r="H68" s="600"/>
      <c r="I68" s="600"/>
      <c r="J68" s="390" t="s">
        <v>19</v>
      </c>
      <c r="K68" s="95" t="s">
        <v>762</v>
      </c>
      <c r="L68" s="95" t="s">
        <v>761</v>
      </c>
      <c r="M68" s="328" t="s">
        <v>12</v>
      </c>
      <c r="N68" s="248">
        <v>500</v>
      </c>
      <c r="O68" s="248">
        <v>500</v>
      </c>
      <c r="P68" s="248">
        <v>500</v>
      </c>
      <c r="Q68" s="248" t="s">
        <v>19</v>
      </c>
      <c r="R68" s="322"/>
    </row>
    <row r="69" spans="1:18" s="323" customFormat="1" ht="12.75" x14ac:dyDescent="0.2">
      <c r="A69" s="538"/>
      <c r="B69" s="567"/>
      <c r="C69" s="540"/>
      <c r="D69" s="540"/>
      <c r="E69" s="293" t="s">
        <v>15</v>
      </c>
      <c r="F69" s="32">
        <v>0.6</v>
      </c>
      <c r="G69" s="32">
        <v>0.57999999999999996</v>
      </c>
      <c r="H69" s="106">
        <f>ROUND(G69*Lapas1!$B$2, 1)</f>
        <v>0.6</v>
      </c>
      <c r="I69" s="106">
        <f>ROUND(H69*Lapas1!$B$2, 1)</f>
        <v>0.6</v>
      </c>
      <c r="J69" s="338"/>
      <c r="K69" s="384"/>
      <c r="L69" s="384"/>
      <c r="M69" s="385"/>
      <c r="N69" s="342"/>
      <c r="O69" s="342"/>
      <c r="P69" s="342"/>
      <c r="Q69" s="342"/>
      <c r="R69" s="386"/>
    </row>
    <row r="70" spans="1:18" s="323" customFormat="1" ht="12.75" x14ac:dyDescent="0.2">
      <c r="A70" s="538"/>
      <c r="B70" s="567"/>
      <c r="C70" s="540"/>
      <c r="D70" s="540"/>
      <c r="E70" s="294" t="s">
        <v>22</v>
      </c>
      <c r="F70" s="29">
        <f>SUM(F69:F69)</f>
        <v>0.6</v>
      </c>
      <c r="G70" s="29">
        <f>SUM(G69:G69)</f>
        <v>0.57999999999999996</v>
      </c>
      <c r="H70" s="29">
        <f>SUM(H69:H69)</f>
        <v>0.6</v>
      </c>
      <c r="I70" s="29">
        <f>SUM(I69:I69)</f>
        <v>0.6</v>
      </c>
      <c r="J70" s="338"/>
      <c r="K70" s="384"/>
      <c r="L70" s="384"/>
      <c r="M70" s="385"/>
      <c r="N70" s="342"/>
      <c r="O70" s="342"/>
      <c r="P70" s="342"/>
      <c r="Q70" s="342"/>
      <c r="R70" s="334">
        <f>(G70-F70)/F70</f>
        <v>-3.3333333333333368E-2</v>
      </c>
    </row>
    <row r="71" spans="1:18" s="323" customFormat="1" ht="25.5" x14ac:dyDescent="0.2">
      <c r="A71" s="538" t="s">
        <v>0</v>
      </c>
      <c r="B71" s="567" t="s">
        <v>10</v>
      </c>
      <c r="C71" s="601" t="s">
        <v>28</v>
      </c>
      <c r="D71" s="601" t="s">
        <v>21</v>
      </c>
      <c r="E71" s="600" t="s">
        <v>760</v>
      </c>
      <c r="F71" s="600"/>
      <c r="G71" s="600"/>
      <c r="H71" s="600"/>
      <c r="I71" s="600"/>
      <c r="J71" s="390" t="s">
        <v>19</v>
      </c>
      <c r="K71" s="95" t="s">
        <v>759</v>
      </c>
      <c r="L71" s="95" t="s">
        <v>758</v>
      </c>
      <c r="M71" s="328" t="s">
        <v>11</v>
      </c>
      <c r="N71" s="248">
        <v>86</v>
      </c>
      <c r="O71" s="248">
        <v>86</v>
      </c>
      <c r="P71" s="248">
        <v>86</v>
      </c>
      <c r="Q71" s="248" t="s">
        <v>19</v>
      </c>
      <c r="R71" s="322"/>
    </row>
    <row r="72" spans="1:18" s="323" customFormat="1" ht="12.75" x14ac:dyDescent="0.2">
      <c r="A72" s="538"/>
      <c r="B72" s="567"/>
      <c r="C72" s="601"/>
      <c r="D72" s="601"/>
      <c r="E72" s="293" t="s">
        <v>15</v>
      </c>
      <c r="F72" s="32">
        <v>37.9</v>
      </c>
      <c r="G72" s="32">
        <v>40.4</v>
      </c>
      <c r="H72" s="106">
        <f>ROUND(G72*Lapas1!$B$2, 1)</f>
        <v>43.6</v>
      </c>
      <c r="I72" s="106">
        <f>ROUND(H72*Lapas1!$B$2, 1)</f>
        <v>47.1</v>
      </c>
      <c r="J72" s="338"/>
      <c r="K72" s="384"/>
      <c r="L72" s="384"/>
      <c r="M72" s="385"/>
      <c r="N72" s="342"/>
      <c r="O72" s="342"/>
      <c r="P72" s="342"/>
      <c r="Q72" s="342"/>
      <c r="R72" s="386"/>
    </row>
    <row r="73" spans="1:18" s="323" customFormat="1" ht="12.75" x14ac:dyDescent="0.2">
      <c r="A73" s="538"/>
      <c r="B73" s="567"/>
      <c r="C73" s="601"/>
      <c r="D73" s="601"/>
      <c r="E73" s="294" t="s">
        <v>22</v>
      </c>
      <c r="F73" s="29">
        <f>SUM(F72:F72)</f>
        <v>37.9</v>
      </c>
      <c r="G73" s="29">
        <f>SUM(G72:G72)</f>
        <v>40.4</v>
      </c>
      <c r="H73" s="29">
        <f>SUM(H72:H72)</f>
        <v>43.6</v>
      </c>
      <c r="I73" s="29">
        <f>SUM(I72:I72)</f>
        <v>47.1</v>
      </c>
      <c r="J73" s="338"/>
      <c r="K73" s="384"/>
      <c r="L73" s="384"/>
      <c r="M73" s="385"/>
      <c r="N73" s="342"/>
      <c r="O73" s="342"/>
      <c r="P73" s="342"/>
      <c r="Q73" s="342"/>
      <c r="R73" s="334">
        <f>(G73-F73)/F73</f>
        <v>6.5963060686015831E-2</v>
      </c>
    </row>
    <row r="74" spans="1:18" s="323" customFormat="1" ht="12.75" x14ac:dyDescent="0.2">
      <c r="A74" s="538" t="s">
        <v>0</v>
      </c>
      <c r="B74" s="567" t="s">
        <v>10</v>
      </c>
      <c r="C74" s="540" t="s">
        <v>75</v>
      </c>
      <c r="D74" s="540" t="s">
        <v>21</v>
      </c>
      <c r="E74" s="600" t="s">
        <v>757</v>
      </c>
      <c r="F74" s="600"/>
      <c r="G74" s="600"/>
      <c r="H74" s="600"/>
      <c r="I74" s="600"/>
      <c r="J74" s="536" t="s">
        <v>19</v>
      </c>
      <c r="K74" s="293" t="s">
        <v>756</v>
      </c>
      <c r="L74" s="293" t="s">
        <v>755</v>
      </c>
      <c r="M74" s="327" t="s">
        <v>12</v>
      </c>
      <c r="N74" s="336">
        <v>45</v>
      </c>
      <c r="O74" s="336">
        <v>45</v>
      </c>
      <c r="P74" s="336">
        <v>45</v>
      </c>
      <c r="Q74" s="336" t="s">
        <v>19</v>
      </c>
      <c r="R74" s="322"/>
    </row>
    <row r="75" spans="1:18" s="323" customFormat="1" ht="12.75" x14ac:dyDescent="0.2">
      <c r="A75" s="538"/>
      <c r="B75" s="567"/>
      <c r="C75" s="540"/>
      <c r="D75" s="540"/>
      <c r="E75" s="600"/>
      <c r="F75" s="600"/>
      <c r="G75" s="600"/>
      <c r="H75" s="600"/>
      <c r="I75" s="600"/>
      <c r="J75" s="536"/>
      <c r="K75" s="293" t="s">
        <v>754</v>
      </c>
      <c r="L75" s="293" t="s">
        <v>753</v>
      </c>
      <c r="M75" s="327" t="s">
        <v>12</v>
      </c>
      <c r="N75" s="336">
        <v>80</v>
      </c>
      <c r="O75" s="336">
        <v>80</v>
      </c>
      <c r="P75" s="336">
        <v>80</v>
      </c>
      <c r="Q75" s="336" t="s">
        <v>19</v>
      </c>
      <c r="R75" s="322"/>
    </row>
    <row r="76" spans="1:18" s="323" customFormat="1" ht="12.75" x14ac:dyDescent="0.2">
      <c r="A76" s="538"/>
      <c r="B76" s="567"/>
      <c r="C76" s="540"/>
      <c r="D76" s="540"/>
      <c r="E76" s="600"/>
      <c r="F76" s="600"/>
      <c r="G76" s="600"/>
      <c r="H76" s="600"/>
      <c r="I76" s="600"/>
      <c r="J76" s="536"/>
      <c r="K76" s="293" t="s">
        <v>752</v>
      </c>
      <c r="L76" s="293" t="s">
        <v>930</v>
      </c>
      <c r="M76" s="327" t="s">
        <v>12</v>
      </c>
      <c r="N76" s="336">
        <v>50</v>
      </c>
      <c r="O76" s="336">
        <v>50</v>
      </c>
      <c r="P76" s="336">
        <v>50</v>
      </c>
      <c r="Q76" s="336" t="s">
        <v>19</v>
      </c>
      <c r="R76" s="322"/>
    </row>
    <row r="77" spans="1:18" s="323" customFormat="1" ht="38.25" x14ac:dyDescent="0.2">
      <c r="A77" s="538"/>
      <c r="B77" s="567"/>
      <c r="C77" s="540"/>
      <c r="D77" s="540"/>
      <c r="E77" s="600"/>
      <c r="F77" s="600"/>
      <c r="G77" s="600"/>
      <c r="H77" s="600"/>
      <c r="I77" s="600"/>
      <c r="J77" s="536"/>
      <c r="K77" s="293" t="s">
        <v>751</v>
      </c>
      <c r="L77" s="328" t="s">
        <v>750</v>
      </c>
      <c r="M77" s="328" t="s">
        <v>35</v>
      </c>
      <c r="N77" s="248">
        <v>1.7</v>
      </c>
      <c r="O77" s="248">
        <v>1.7</v>
      </c>
      <c r="P77" s="248">
        <v>1.7</v>
      </c>
      <c r="Q77" s="336" t="s">
        <v>19</v>
      </c>
      <c r="R77" s="322"/>
    </row>
    <row r="78" spans="1:18" s="323" customFormat="1" ht="38.25" x14ac:dyDescent="0.2">
      <c r="A78" s="538"/>
      <c r="B78" s="567"/>
      <c r="C78" s="540"/>
      <c r="D78" s="540"/>
      <c r="E78" s="600"/>
      <c r="F78" s="600"/>
      <c r="G78" s="600"/>
      <c r="H78" s="600"/>
      <c r="I78" s="600"/>
      <c r="J78" s="536"/>
      <c r="K78" s="293" t="s">
        <v>749</v>
      </c>
      <c r="L78" s="328" t="s">
        <v>748</v>
      </c>
      <c r="M78" s="328" t="s">
        <v>35</v>
      </c>
      <c r="N78" s="248">
        <v>2</v>
      </c>
      <c r="O78" s="248">
        <v>2</v>
      </c>
      <c r="P78" s="248">
        <v>2</v>
      </c>
      <c r="Q78" s="336" t="s">
        <v>19</v>
      </c>
      <c r="R78" s="322"/>
    </row>
    <row r="79" spans="1:18" s="323" customFormat="1" ht="12.75" x14ac:dyDescent="0.2">
      <c r="A79" s="538"/>
      <c r="B79" s="567"/>
      <c r="C79" s="540"/>
      <c r="D79" s="540"/>
      <c r="E79" s="293" t="s">
        <v>14</v>
      </c>
      <c r="F79" s="267">
        <f>20+4</f>
        <v>24</v>
      </c>
      <c r="G79" s="32">
        <v>6</v>
      </c>
      <c r="H79" s="106">
        <f>ROUND(G79*Lapas1!$B$1, 1)</f>
        <v>6.5</v>
      </c>
      <c r="I79" s="106">
        <f>ROUND(H79*Lapas1!$B$1, 1)</f>
        <v>7</v>
      </c>
      <c r="J79" s="338"/>
      <c r="K79" s="384"/>
      <c r="L79" s="384"/>
      <c r="M79" s="385"/>
      <c r="N79" s="342"/>
      <c r="O79" s="342"/>
      <c r="P79" s="342"/>
      <c r="Q79" s="342"/>
      <c r="R79" s="386"/>
    </row>
    <row r="80" spans="1:18" s="323" customFormat="1" ht="12.75" x14ac:dyDescent="0.2">
      <c r="A80" s="538"/>
      <c r="B80" s="567"/>
      <c r="C80" s="540"/>
      <c r="D80" s="540"/>
      <c r="E80" s="293" t="s">
        <v>15</v>
      </c>
      <c r="F80" s="267">
        <v>1010</v>
      </c>
      <c r="G80" s="32">
        <v>1075.4000000000001</v>
      </c>
      <c r="H80" s="106">
        <f>ROUND(G80*Lapas1!$B$2, 1)</f>
        <v>1161.4000000000001</v>
      </c>
      <c r="I80" s="106">
        <f>ROUND(H80*Lapas1!$B$2, 1)</f>
        <v>1254.3</v>
      </c>
      <c r="J80" s="338"/>
      <c r="K80" s="384"/>
      <c r="L80" s="384"/>
      <c r="M80" s="385"/>
      <c r="N80" s="342"/>
      <c r="O80" s="342"/>
      <c r="P80" s="342"/>
      <c r="Q80" s="342"/>
      <c r="R80" s="386"/>
    </row>
    <row r="81" spans="1:18" s="323" customFormat="1" ht="12.75" x14ac:dyDescent="0.2">
      <c r="A81" s="538"/>
      <c r="B81" s="567"/>
      <c r="C81" s="540"/>
      <c r="D81" s="540"/>
      <c r="E81" s="294" t="s">
        <v>22</v>
      </c>
      <c r="F81" s="29">
        <f>SUM(F79:F80)</f>
        <v>1034</v>
      </c>
      <c r="G81" s="29">
        <f>SUM(G79:G80)</f>
        <v>1081.4000000000001</v>
      </c>
      <c r="H81" s="29">
        <f>SUM(H79:H80)</f>
        <v>1167.9000000000001</v>
      </c>
      <c r="I81" s="29">
        <f>SUM(I79:I80)</f>
        <v>1261.3</v>
      </c>
      <c r="J81" s="338"/>
      <c r="K81" s="384"/>
      <c r="L81" s="384"/>
      <c r="M81" s="385"/>
      <c r="N81" s="342"/>
      <c r="O81" s="342"/>
      <c r="P81" s="342"/>
      <c r="Q81" s="342"/>
      <c r="R81" s="334">
        <f>(G81-F81)/F81</f>
        <v>4.5841392649903376E-2</v>
      </c>
    </row>
    <row r="82" spans="1:18" s="323" customFormat="1" ht="38.25" x14ac:dyDescent="0.2">
      <c r="A82" s="538" t="s">
        <v>0</v>
      </c>
      <c r="B82" s="567" t="s">
        <v>10</v>
      </c>
      <c r="C82" s="540" t="s">
        <v>107</v>
      </c>
      <c r="D82" s="540" t="s">
        <v>21</v>
      </c>
      <c r="E82" s="600" t="s">
        <v>747</v>
      </c>
      <c r="F82" s="600"/>
      <c r="G82" s="600"/>
      <c r="H82" s="600"/>
      <c r="I82" s="600"/>
      <c r="J82" s="326" t="s">
        <v>19</v>
      </c>
      <c r="K82" s="95" t="s">
        <v>746</v>
      </c>
      <c r="L82" s="95" t="s">
        <v>745</v>
      </c>
      <c r="M82" s="328" t="s">
        <v>11</v>
      </c>
      <c r="N82" s="248">
        <v>33.6</v>
      </c>
      <c r="O82" s="248">
        <v>33.6</v>
      </c>
      <c r="P82" s="248">
        <v>33.6</v>
      </c>
      <c r="Q82" s="336" t="s">
        <v>19</v>
      </c>
      <c r="R82" s="322"/>
    </row>
    <row r="83" spans="1:18" s="323" customFormat="1" ht="12.75" x14ac:dyDescent="0.2">
      <c r="A83" s="538"/>
      <c r="B83" s="567"/>
      <c r="C83" s="540"/>
      <c r="D83" s="540"/>
      <c r="E83" s="293" t="s">
        <v>15</v>
      </c>
      <c r="F83" s="32">
        <v>3.6</v>
      </c>
      <c r="G83" s="32">
        <v>3.6</v>
      </c>
      <c r="H83" s="106">
        <f>ROUND(G83*Lapas1!$B$2, 1)</f>
        <v>3.9</v>
      </c>
      <c r="I83" s="106">
        <f>ROUND(H83*Lapas1!$B$2, 1)</f>
        <v>4.2</v>
      </c>
      <c r="J83" s="338"/>
      <c r="K83" s="384"/>
      <c r="L83" s="384"/>
      <c r="M83" s="385"/>
      <c r="N83" s="342"/>
      <c r="O83" s="342"/>
      <c r="P83" s="342"/>
      <c r="Q83" s="342"/>
      <c r="R83" s="386"/>
    </row>
    <row r="84" spans="1:18" s="323" customFormat="1" ht="12.75" x14ac:dyDescent="0.2">
      <c r="A84" s="538"/>
      <c r="B84" s="567"/>
      <c r="C84" s="540"/>
      <c r="D84" s="540"/>
      <c r="E84" s="294" t="s">
        <v>22</v>
      </c>
      <c r="F84" s="29">
        <f>SUM(F83:F83)</f>
        <v>3.6</v>
      </c>
      <c r="G84" s="29">
        <f>SUM(G83:G83)</f>
        <v>3.6</v>
      </c>
      <c r="H84" s="29">
        <f>SUM(H83:H83)</f>
        <v>3.9</v>
      </c>
      <c r="I84" s="29">
        <f>SUM(I83:I83)</f>
        <v>4.2</v>
      </c>
      <c r="J84" s="338"/>
      <c r="K84" s="384"/>
      <c r="L84" s="384"/>
      <c r="M84" s="385"/>
      <c r="N84" s="342"/>
      <c r="O84" s="342"/>
      <c r="P84" s="342"/>
      <c r="Q84" s="342"/>
      <c r="R84" s="334">
        <f>(G84-F84)/F84</f>
        <v>0</v>
      </c>
    </row>
    <row r="85" spans="1:18" s="323" customFormat="1" ht="25.5" x14ac:dyDescent="0.2">
      <c r="A85" s="538" t="s">
        <v>0</v>
      </c>
      <c r="B85" s="567" t="s">
        <v>10</v>
      </c>
      <c r="C85" s="540" t="s">
        <v>108</v>
      </c>
      <c r="D85" s="540" t="s">
        <v>21</v>
      </c>
      <c r="E85" s="537" t="s">
        <v>744</v>
      </c>
      <c r="F85" s="537"/>
      <c r="G85" s="537"/>
      <c r="H85" s="537"/>
      <c r="I85" s="537"/>
      <c r="J85" s="326" t="s">
        <v>19</v>
      </c>
      <c r="K85" s="328" t="s">
        <v>743</v>
      </c>
      <c r="L85" s="328" t="s">
        <v>742</v>
      </c>
      <c r="M85" s="328" t="s">
        <v>12</v>
      </c>
      <c r="N85" s="248">
        <v>15</v>
      </c>
      <c r="O85" s="248">
        <v>15</v>
      </c>
      <c r="P85" s="248">
        <v>15</v>
      </c>
      <c r="Q85" s="248" t="s">
        <v>19</v>
      </c>
      <c r="R85" s="322"/>
    </row>
    <row r="86" spans="1:18" s="323" customFormat="1" ht="12.75" x14ac:dyDescent="0.2">
      <c r="A86" s="538"/>
      <c r="B86" s="567"/>
      <c r="C86" s="540"/>
      <c r="D86" s="540"/>
      <c r="E86" s="293" t="s">
        <v>15</v>
      </c>
      <c r="F86" s="32">
        <v>225.8</v>
      </c>
      <c r="G86" s="32">
        <v>221.4</v>
      </c>
      <c r="H86" s="106">
        <f>ROUND(G86*Lapas1!$B$2, 1)</f>
        <v>239.1</v>
      </c>
      <c r="I86" s="106">
        <f>ROUND(H86*Lapas1!$B$2, 1)</f>
        <v>258.2</v>
      </c>
      <c r="J86" s="338"/>
      <c r="K86" s="384"/>
      <c r="L86" s="384"/>
      <c r="M86" s="385"/>
      <c r="N86" s="342"/>
      <c r="O86" s="342"/>
      <c r="P86" s="342"/>
      <c r="Q86" s="342"/>
      <c r="R86" s="386"/>
    </row>
    <row r="87" spans="1:18" s="323" customFormat="1" ht="12.75" x14ac:dyDescent="0.2">
      <c r="A87" s="538"/>
      <c r="B87" s="567"/>
      <c r="C87" s="540"/>
      <c r="D87" s="540"/>
      <c r="E87" s="294" t="s">
        <v>22</v>
      </c>
      <c r="F87" s="29">
        <f>SUM(F86:F86)</f>
        <v>225.8</v>
      </c>
      <c r="G87" s="29">
        <f>SUM(G86:G86)</f>
        <v>221.4</v>
      </c>
      <c r="H87" s="29">
        <f>SUM(H86:H86)</f>
        <v>239.1</v>
      </c>
      <c r="I87" s="29">
        <f>SUM(I86:I86)</f>
        <v>258.2</v>
      </c>
      <c r="J87" s="338"/>
      <c r="K87" s="384"/>
      <c r="L87" s="384"/>
      <c r="M87" s="385"/>
      <c r="N87" s="342"/>
      <c r="O87" s="342"/>
      <c r="P87" s="342"/>
      <c r="Q87" s="342"/>
      <c r="R87" s="334">
        <f>(G87-F87)/F87</f>
        <v>-1.9486271036315346E-2</v>
      </c>
    </row>
    <row r="88" spans="1:18" s="323" customFormat="1" ht="25.5" x14ac:dyDescent="0.2">
      <c r="A88" s="538" t="s">
        <v>0</v>
      </c>
      <c r="B88" s="567" t="s">
        <v>10</v>
      </c>
      <c r="C88" s="540" t="s">
        <v>119</v>
      </c>
      <c r="D88" s="540" t="s">
        <v>21</v>
      </c>
      <c r="E88" s="600" t="s">
        <v>741</v>
      </c>
      <c r="F88" s="600"/>
      <c r="G88" s="600"/>
      <c r="H88" s="600"/>
      <c r="I88" s="600"/>
      <c r="J88" s="536" t="s">
        <v>19</v>
      </c>
      <c r="K88" s="95" t="s">
        <v>740</v>
      </c>
      <c r="L88" s="95" t="s">
        <v>739</v>
      </c>
      <c r="M88" s="328" t="s">
        <v>566</v>
      </c>
      <c r="N88" s="248">
        <v>44517.4</v>
      </c>
      <c r="O88" s="248">
        <v>44517.4</v>
      </c>
      <c r="P88" s="248">
        <v>44517.4</v>
      </c>
      <c r="Q88" s="336" t="s">
        <v>19</v>
      </c>
      <c r="R88" s="322"/>
    </row>
    <row r="89" spans="1:18" s="323" customFormat="1" ht="25.5" x14ac:dyDescent="0.2">
      <c r="A89" s="538"/>
      <c r="B89" s="567"/>
      <c r="C89" s="540"/>
      <c r="D89" s="540"/>
      <c r="E89" s="600"/>
      <c r="F89" s="600"/>
      <c r="G89" s="600"/>
      <c r="H89" s="600"/>
      <c r="I89" s="600"/>
      <c r="J89" s="536"/>
      <c r="K89" s="95" t="s">
        <v>738</v>
      </c>
      <c r="L89" s="95" t="s">
        <v>737</v>
      </c>
      <c r="M89" s="328" t="s">
        <v>12</v>
      </c>
      <c r="N89" s="248">
        <v>25</v>
      </c>
      <c r="O89" s="248">
        <v>25</v>
      </c>
      <c r="P89" s="248">
        <v>25</v>
      </c>
      <c r="Q89" s="336" t="s">
        <v>19</v>
      </c>
      <c r="R89" s="322"/>
    </row>
    <row r="90" spans="1:18" s="323" customFormat="1" ht="12.75" x14ac:dyDescent="0.2">
      <c r="A90" s="538"/>
      <c r="B90" s="567"/>
      <c r="C90" s="540"/>
      <c r="D90" s="540"/>
      <c r="E90" s="600"/>
      <c r="F90" s="600"/>
      <c r="G90" s="600"/>
      <c r="H90" s="600"/>
      <c r="I90" s="600"/>
      <c r="J90" s="536"/>
      <c r="K90" s="95" t="s">
        <v>736</v>
      </c>
      <c r="L90" s="95" t="s">
        <v>735</v>
      </c>
      <c r="M90" s="328" t="s">
        <v>734</v>
      </c>
      <c r="N90" s="248">
        <v>20</v>
      </c>
      <c r="O90" s="248">
        <v>20</v>
      </c>
      <c r="P90" s="248">
        <v>20</v>
      </c>
      <c r="Q90" s="336" t="s">
        <v>19</v>
      </c>
      <c r="R90" s="322"/>
    </row>
    <row r="91" spans="1:18" s="323" customFormat="1" ht="12.75" x14ac:dyDescent="0.2">
      <c r="A91" s="538"/>
      <c r="B91" s="567"/>
      <c r="C91" s="540"/>
      <c r="D91" s="540"/>
      <c r="E91" s="293" t="s">
        <v>15</v>
      </c>
      <c r="F91" s="32">
        <v>162</v>
      </c>
      <c r="G91" s="32">
        <v>162</v>
      </c>
      <c r="H91" s="106">
        <f>ROUND(G91*1.08, 1)</f>
        <v>175</v>
      </c>
      <c r="I91" s="106">
        <f>ROUND(H91*1.08, 1)</f>
        <v>189</v>
      </c>
      <c r="J91" s="338"/>
      <c r="K91" s="384"/>
      <c r="L91" s="384"/>
      <c r="M91" s="385"/>
      <c r="N91" s="342"/>
      <c r="O91" s="342"/>
      <c r="P91" s="342"/>
      <c r="Q91" s="342"/>
      <c r="R91" s="386"/>
    </row>
    <row r="92" spans="1:18" s="323" customFormat="1" ht="12.75" x14ac:dyDescent="0.2">
      <c r="A92" s="538"/>
      <c r="B92" s="567"/>
      <c r="C92" s="540"/>
      <c r="D92" s="540"/>
      <c r="E92" s="294" t="s">
        <v>22</v>
      </c>
      <c r="F92" s="29">
        <f>SUM(F91:F91)</f>
        <v>162</v>
      </c>
      <c r="G92" s="29">
        <f>SUM(G91:G91)</f>
        <v>162</v>
      </c>
      <c r="H92" s="29">
        <f>SUM(H91:H91)</f>
        <v>175</v>
      </c>
      <c r="I92" s="29">
        <f>SUM(I91:I91)</f>
        <v>189</v>
      </c>
      <c r="J92" s="338"/>
      <c r="K92" s="384"/>
      <c r="L92" s="384"/>
      <c r="M92" s="385"/>
      <c r="N92" s="342"/>
      <c r="O92" s="342"/>
      <c r="P92" s="342"/>
      <c r="Q92" s="342"/>
      <c r="R92" s="334">
        <f>(G92-F92)/F92</f>
        <v>0</v>
      </c>
    </row>
    <row r="93" spans="1:18" s="323" customFormat="1" ht="13.5" x14ac:dyDescent="0.2">
      <c r="A93" s="538" t="s">
        <v>0</v>
      </c>
      <c r="B93" s="567" t="s">
        <v>10</v>
      </c>
      <c r="C93" s="540" t="s">
        <v>120</v>
      </c>
      <c r="D93" s="540" t="s">
        <v>21</v>
      </c>
      <c r="E93" s="600" t="s">
        <v>733</v>
      </c>
      <c r="F93" s="600"/>
      <c r="G93" s="600"/>
      <c r="H93" s="600"/>
      <c r="I93" s="600"/>
      <c r="J93" s="326" t="s">
        <v>19</v>
      </c>
      <c r="K93" s="95" t="s">
        <v>732</v>
      </c>
      <c r="L93" s="95" t="s">
        <v>731</v>
      </c>
      <c r="M93" s="328" t="s">
        <v>12</v>
      </c>
      <c r="N93" s="248">
        <v>500</v>
      </c>
      <c r="O93" s="248">
        <v>500</v>
      </c>
      <c r="P93" s="248">
        <v>500</v>
      </c>
      <c r="Q93" s="336" t="s">
        <v>19</v>
      </c>
      <c r="R93" s="322"/>
    </row>
    <row r="94" spans="1:18" s="323" customFormat="1" ht="12.75" x14ac:dyDescent="0.2">
      <c r="A94" s="538"/>
      <c r="B94" s="567"/>
      <c r="C94" s="540"/>
      <c r="D94" s="540"/>
      <c r="E94" s="293" t="s">
        <v>15</v>
      </c>
      <c r="F94" s="32">
        <v>27.7</v>
      </c>
      <c r="G94" s="32">
        <v>27.7</v>
      </c>
      <c r="H94" s="106">
        <f>ROUND(G94*1.08, 1)</f>
        <v>29.9</v>
      </c>
      <c r="I94" s="106">
        <f>ROUND(H94*1.08, 1)</f>
        <v>32.299999999999997</v>
      </c>
      <c r="J94" s="338"/>
      <c r="K94" s="384"/>
      <c r="L94" s="384"/>
      <c r="M94" s="385"/>
      <c r="N94" s="342"/>
      <c r="O94" s="342"/>
      <c r="P94" s="342"/>
      <c r="Q94" s="342"/>
      <c r="R94" s="386"/>
    </row>
    <row r="95" spans="1:18" s="323" customFormat="1" ht="12.75" x14ac:dyDescent="0.2">
      <c r="A95" s="538"/>
      <c r="B95" s="567"/>
      <c r="C95" s="540"/>
      <c r="D95" s="540"/>
      <c r="E95" s="294" t="s">
        <v>22</v>
      </c>
      <c r="F95" s="29">
        <f>SUM(F94:F94)</f>
        <v>27.7</v>
      </c>
      <c r="G95" s="29">
        <f>SUM(G94:G94)</f>
        <v>27.7</v>
      </c>
      <c r="H95" s="29">
        <f>SUM(H94:H94)</f>
        <v>29.9</v>
      </c>
      <c r="I95" s="29">
        <f>SUM(I94:I94)</f>
        <v>32.299999999999997</v>
      </c>
      <c r="J95" s="338"/>
      <c r="K95" s="384"/>
      <c r="L95" s="384"/>
      <c r="M95" s="385"/>
      <c r="N95" s="342"/>
      <c r="O95" s="342"/>
      <c r="P95" s="342"/>
      <c r="Q95" s="342"/>
      <c r="R95" s="334">
        <f>(G95-F95)/F95</f>
        <v>0</v>
      </c>
    </row>
    <row r="96" spans="1:18" s="323" customFormat="1" ht="25.5" x14ac:dyDescent="0.2">
      <c r="A96" s="538" t="s">
        <v>0</v>
      </c>
      <c r="B96" s="567" t="s">
        <v>10</v>
      </c>
      <c r="C96" s="540" t="s">
        <v>122</v>
      </c>
      <c r="D96" s="540" t="s">
        <v>21</v>
      </c>
      <c r="E96" s="537" t="s">
        <v>730</v>
      </c>
      <c r="F96" s="537"/>
      <c r="G96" s="537"/>
      <c r="H96" s="537"/>
      <c r="I96" s="537"/>
      <c r="J96" s="326" t="s">
        <v>19</v>
      </c>
      <c r="K96" s="95" t="s">
        <v>729</v>
      </c>
      <c r="L96" s="95" t="s">
        <v>931</v>
      </c>
      <c r="M96" s="328" t="s">
        <v>12</v>
      </c>
      <c r="N96" s="248">
        <v>3</v>
      </c>
      <c r="O96" s="248">
        <v>4</v>
      </c>
      <c r="P96" s="248">
        <v>4</v>
      </c>
      <c r="Q96" s="336" t="s">
        <v>19</v>
      </c>
      <c r="R96" s="322"/>
    </row>
    <row r="97" spans="1:18" s="323" customFormat="1" ht="12.75" x14ac:dyDescent="0.2">
      <c r="A97" s="538"/>
      <c r="B97" s="567"/>
      <c r="C97" s="540"/>
      <c r="D97" s="540"/>
      <c r="E97" s="293" t="s">
        <v>15</v>
      </c>
      <c r="F97" s="47">
        <v>33.1</v>
      </c>
      <c r="G97" s="32">
        <v>23</v>
      </c>
      <c r="H97" s="106">
        <f>ROUND(G97*Lapas1!$B$2, 1)</f>
        <v>24.8</v>
      </c>
      <c r="I97" s="106">
        <f>ROUND(H97*Lapas1!$B$2, 1)</f>
        <v>26.8</v>
      </c>
      <c r="J97" s="338"/>
      <c r="K97" s="384"/>
      <c r="L97" s="384"/>
      <c r="M97" s="385"/>
      <c r="N97" s="342"/>
      <c r="O97" s="342"/>
      <c r="P97" s="342"/>
      <c r="Q97" s="342"/>
      <c r="R97" s="386"/>
    </row>
    <row r="98" spans="1:18" s="323" customFormat="1" ht="12.75" x14ac:dyDescent="0.2">
      <c r="A98" s="538"/>
      <c r="B98" s="567"/>
      <c r="C98" s="540"/>
      <c r="D98" s="540"/>
      <c r="E98" s="294" t="s">
        <v>22</v>
      </c>
      <c r="F98" s="29">
        <f>SUM(F97:F97)</f>
        <v>33.1</v>
      </c>
      <c r="G98" s="29">
        <f>SUM(G97:G97)</f>
        <v>23</v>
      </c>
      <c r="H98" s="29">
        <f>SUM(H97:H97)</f>
        <v>24.8</v>
      </c>
      <c r="I98" s="29">
        <f>SUM(I97:I97)</f>
        <v>26.8</v>
      </c>
      <c r="J98" s="338"/>
      <c r="K98" s="384"/>
      <c r="L98" s="384"/>
      <c r="M98" s="385"/>
      <c r="N98" s="342"/>
      <c r="O98" s="342"/>
      <c r="P98" s="342"/>
      <c r="Q98" s="342"/>
      <c r="R98" s="334">
        <f>(G98-F98)/F98</f>
        <v>-0.30513595166163143</v>
      </c>
    </row>
    <row r="99" spans="1:18" s="323" customFormat="1" ht="51" x14ac:dyDescent="0.2">
      <c r="A99" s="538" t="s">
        <v>0</v>
      </c>
      <c r="B99" s="567" t="s">
        <v>10</v>
      </c>
      <c r="C99" s="540" t="s">
        <v>128</v>
      </c>
      <c r="D99" s="540" t="s">
        <v>21</v>
      </c>
      <c r="E99" s="537" t="s">
        <v>728</v>
      </c>
      <c r="F99" s="537"/>
      <c r="G99" s="537"/>
      <c r="H99" s="537"/>
      <c r="I99" s="537"/>
      <c r="J99" s="326" t="s">
        <v>19</v>
      </c>
      <c r="K99" s="95" t="s">
        <v>727</v>
      </c>
      <c r="L99" s="95" t="s">
        <v>726</v>
      </c>
      <c r="M99" s="328" t="s">
        <v>12</v>
      </c>
      <c r="N99" s="248">
        <v>5</v>
      </c>
      <c r="O99" s="248">
        <v>5</v>
      </c>
      <c r="P99" s="248">
        <v>5</v>
      </c>
      <c r="Q99" s="336" t="s">
        <v>19</v>
      </c>
      <c r="R99" s="391"/>
    </row>
    <row r="100" spans="1:18" s="323" customFormat="1" ht="12.75" x14ac:dyDescent="0.2">
      <c r="A100" s="538"/>
      <c r="B100" s="567"/>
      <c r="C100" s="540"/>
      <c r="D100" s="540"/>
      <c r="E100" s="293" t="s">
        <v>15</v>
      </c>
      <c r="F100" s="47">
        <v>25.125</v>
      </c>
      <c r="G100" s="32">
        <v>29.021999999999998</v>
      </c>
      <c r="H100" s="106">
        <f>ROUND(G100*Lapas1!$B$2, 1)</f>
        <v>31.3</v>
      </c>
      <c r="I100" s="106">
        <f>ROUND(H100*Lapas1!$B$2, 1)</f>
        <v>33.799999999999997</v>
      </c>
      <c r="J100" s="338"/>
      <c r="K100" s="384"/>
      <c r="L100" s="384"/>
      <c r="M100" s="385"/>
      <c r="N100" s="342"/>
      <c r="O100" s="342"/>
      <c r="P100" s="342"/>
      <c r="Q100" s="342"/>
      <c r="R100" s="386"/>
    </row>
    <row r="101" spans="1:18" s="323" customFormat="1" ht="12.75" x14ac:dyDescent="0.2">
      <c r="A101" s="538"/>
      <c r="B101" s="567"/>
      <c r="C101" s="540"/>
      <c r="D101" s="540"/>
      <c r="E101" s="294" t="s">
        <v>22</v>
      </c>
      <c r="F101" s="29">
        <f>SUM(F100:F100)</f>
        <v>25.125</v>
      </c>
      <c r="G101" s="29">
        <f>SUM(G100:G100)</f>
        <v>29.021999999999998</v>
      </c>
      <c r="H101" s="29">
        <f>SUM(H100:H100)</f>
        <v>31.3</v>
      </c>
      <c r="I101" s="29">
        <f>SUM(I100:I100)</f>
        <v>33.799999999999997</v>
      </c>
      <c r="J101" s="338"/>
      <c r="K101" s="384"/>
      <c r="L101" s="384"/>
      <c r="M101" s="385"/>
      <c r="N101" s="342"/>
      <c r="O101" s="342"/>
      <c r="P101" s="342"/>
      <c r="Q101" s="342"/>
      <c r="R101" s="334">
        <f>(G101-F101)/F101</f>
        <v>0.15510447761194024</v>
      </c>
    </row>
    <row r="102" spans="1:18" s="323" customFormat="1" ht="12.75" x14ac:dyDescent="0.2">
      <c r="A102" s="538" t="s">
        <v>0</v>
      </c>
      <c r="B102" s="567" t="s">
        <v>10</v>
      </c>
      <c r="C102" s="540" t="s">
        <v>129</v>
      </c>
      <c r="D102" s="540" t="s">
        <v>21</v>
      </c>
      <c r="E102" s="537" t="s">
        <v>725</v>
      </c>
      <c r="F102" s="537"/>
      <c r="G102" s="537"/>
      <c r="H102" s="537"/>
      <c r="I102" s="537"/>
      <c r="J102" s="607" t="s">
        <v>19</v>
      </c>
      <c r="K102" s="328" t="s">
        <v>724</v>
      </c>
      <c r="L102" s="328" t="s">
        <v>723</v>
      </c>
      <c r="M102" s="328" t="s">
        <v>12</v>
      </c>
      <c r="N102" s="248">
        <v>20</v>
      </c>
      <c r="O102" s="248">
        <v>20</v>
      </c>
      <c r="P102" s="248">
        <v>20</v>
      </c>
      <c r="Q102" s="336" t="s">
        <v>19</v>
      </c>
      <c r="R102" s="392"/>
    </row>
    <row r="103" spans="1:18" s="323" customFormat="1" ht="25.5" x14ac:dyDescent="0.2">
      <c r="A103" s="538"/>
      <c r="B103" s="567"/>
      <c r="C103" s="540"/>
      <c r="D103" s="540"/>
      <c r="E103" s="537"/>
      <c r="F103" s="537"/>
      <c r="G103" s="537"/>
      <c r="H103" s="537"/>
      <c r="I103" s="537"/>
      <c r="J103" s="607"/>
      <c r="K103" s="328" t="s">
        <v>722</v>
      </c>
      <c r="L103" s="328" t="s">
        <v>721</v>
      </c>
      <c r="M103" s="328" t="s">
        <v>12</v>
      </c>
      <c r="N103" s="248">
        <v>32</v>
      </c>
      <c r="O103" s="248">
        <v>32</v>
      </c>
      <c r="P103" s="248">
        <v>32</v>
      </c>
      <c r="Q103" s="336" t="s">
        <v>19</v>
      </c>
      <c r="R103" s="392"/>
    </row>
    <row r="104" spans="1:18" s="323" customFormat="1" ht="12.75" x14ac:dyDescent="0.2">
      <c r="A104" s="538"/>
      <c r="B104" s="567"/>
      <c r="C104" s="540"/>
      <c r="D104" s="540"/>
      <c r="E104" s="326" t="s">
        <v>15</v>
      </c>
      <c r="F104" s="47">
        <v>43.896000000000001</v>
      </c>
      <c r="G104" s="47">
        <v>43.896000000000001</v>
      </c>
      <c r="H104" s="106">
        <f>ROUND(G104*Lapas1!$B$2, 1)</f>
        <v>47.4</v>
      </c>
      <c r="I104" s="106">
        <f>ROUND(H104*Lapas1!$B$2, 1)</f>
        <v>51.2</v>
      </c>
      <c r="J104" s="338"/>
      <c r="K104" s="384"/>
      <c r="L104" s="384"/>
      <c r="M104" s="385"/>
      <c r="N104" s="342"/>
      <c r="O104" s="342"/>
      <c r="P104" s="342"/>
      <c r="Q104" s="342"/>
      <c r="R104" s="392"/>
    </row>
    <row r="105" spans="1:18" s="323" customFormat="1" ht="12.75" x14ac:dyDescent="0.2">
      <c r="A105" s="538"/>
      <c r="B105" s="567"/>
      <c r="C105" s="540"/>
      <c r="D105" s="540"/>
      <c r="E105" s="294" t="s">
        <v>22</v>
      </c>
      <c r="F105" s="29">
        <f>SUM(F104)</f>
        <v>43.896000000000001</v>
      </c>
      <c r="G105" s="29">
        <f>SUM(G104)</f>
        <v>43.896000000000001</v>
      </c>
      <c r="H105" s="29">
        <f>SUM(H104)</f>
        <v>47.4</v>
      </c>
      <c r="I105" s="29">
        <f>SUM(I104)</f>
        <v>51.2</v>
      </c>
      <c r="J105" s="338"/>
      <c r="K105" s="384"/>
      <c r="L105" s="384"/>
      <c r="M105" s="385"/>
      <c r="N105" s="342"/>
      <c r="O105" s="342"/>
      <c r="P105" s="342"/>
      <c r="Q105" s="342"/>
      <c r="R105" s="334">
        <f>(G105-F105)/106</f>
        <v>0</v>
      </c>
    </row>
    <row r="106" spans="1:18" s="323" customFormat="1" ht="12.75" x14ac:dyDescent="0.2">
      <c r="A106" s="351" t="s">
        <v>0</v>
      </c>
      <c r="B106" s="343" t="s">
        <v>10</v>
      </c>
      <c r="C106" s="308"/>
      <c r="D106" s="344" t="s">
        <v>31</v>
      </c>
      <c r="E106" s="345" t="s">
        <v>275</v>
      </c>
      <c r="F106" s="41">
        <f>F105+F101+F98+F95+F92+F87+F84+F81+F73+F70+F67+F64+F59+F56+F53</f>
        <v>1655.5210000000002</v>
      </c>
      <c r="G106" s="41">
        <f>G105+G101+G98+G95+G92+G87+G84+G81+G73+G70+G67+G64+G59+G56+G53</f>
        <v>1695.6180000000002</v>
      </c>
      <c r="H106" s="41">
        <f>H105+H101+H98+H95+H92+H87+H84+H81+H73+H70+H67+H64+H59+H56+H53</f>
        <v>1831.1</v>
      </c>
      <c r="I106" s="41">
        <f>I105+I101+I98+I95+I92+I87+I84+I81+I73+I70+I67+I64+I59+I56+I53</f>
        <v>1977.4999999999995</v>
      </c>
      <c r="J106" s="348"/>
      <c r="K106" s="347"/>
      <c r="L106" s="347"/>
      <c r="M106" s="347"/>
      <c r="N106" s="348"/>
      <c r="O106" s="348"/>
      <c r="P106" s="348"/>
      <c r="Q106" s="348"/>
      <c r="R106" s="322"/>
    </row>
    <row r="107" spans="1:18" s="323" customFormat="1" ht="12.75" x14ac:dyDescent="0.2">
      <c r="A107" s="320" t="s">
        <v>0</v>
      </c>
      <c r="B107" s="343" t="s">
        <v>24</v>
      </c>
      <c r="C107" s="82"/>
      <c r="D107" s="82" t="s">
        <v>31</v>
      </c>
      <c r="E107" s="558" t="s">
        <v>720</v>
      </c>
      <c r="F107" s="558"/>
      <c r="G107" s="558"/>
      <c r="H107" s="558"/>
      <c r="I107" s="558"/>
      <c r="J107" s="308" t="s">
        <v>19</v>
      </c>
      <c r="K107" s="324" t="s">
        <v>719</v>
      </c>
      <c r="L107" s="324" t="s">
        <v>718</v>
      </c>
      <c r="M107" s="324" t="s">
        <v>11</v>
      </c>
      <c r="N107" s="308">
        <v>100</v>
      </c>
      <c r="O107" s="308">
        <v>100</v>
      </c>
      <c r="P107" s="308">
        <v>100</v>
      </c>
      <c r="Q107" s="308" t="s">
        <v>19</v>
      </c>
      <c r="R107" s="322"/>
    </row>
    <row r="108" spans="1:18" s="323" customFormat="1" ht="13.5" x14ac:dyDescent="0.2">
      <c r="A108" s="538" t="s">
        <v>0</v>
      </c>
      <c r="B108" s="567" t="s">
        <v>24</v>
      </c>
      <c r="C108" s="540" t="s">
        <v>0</v>
      </c>
      <c r="D108" s="540" t="s">
        <v>21</v>
      </c>
      <c r="E108" s="537" t="s">
        <v>717</v>
      </c>
      <c r="F108" s="537"/>
      <c r="G108" s="537"/>
      <c r="H108" s="537"/>
      <c r="I108" s="537"/>
      <c r="J108" s="326" t="s">
        <v>19</v>
      </c>
      <c r="K108" s="293" t="s">
        <v>716</v>
      </c>
      <c r="L108" s="293" t="s">
        <v>715</v>
      </c>
      <c r="M108" s="327" t="s">
        <v>11</v>
      </c>
      <c r="N108" s="336">
        <v>100</v>
      </c>
      <c r="O108" s="336">
        <v>100</v>
      </c>
      <c r="P108" s="336">
        <v>100</v>
      </c>
      <c r="Q108" s="336" t="s">
        <v>19</v>
      </c>
      <c r="R108" s="322"/>
    </row>
    <row r="109" spans="1:18" s="323" customFormat="1" ht="12.75" x14ac:dyDescent="0.2">
      <c r="A109" s="538"/>
      <c r="B109" s="567"/>
      <c r="C109" s="540"/>
      <c r="D109" s="540"/>
      <c r="E109" s="293" t="s">
        <v>14</v>
      </c>
      <c r="F109" s="32">
        <v>1721.7</v>
      </c>
      <c r="G109" s="32">
        <v>1167.0999999999999</v>
      </c>
      <c r="H109" s="106">
        <v>1684.9</v>
      </c>
      <c r="I109" s="106">
        <v>1900</v>
      </c>
      <c r="J109" s="338"/>
      <c r="K109" s="384"/>
      <c r="L109" s="384"/>
      <c r="M109" s="385"/>
      <c r="N109" s="342"/>
      <c r="O109" s="342"/>
      <c r="P109" s="342"/>
      <c r="Q109" s="342"/>
      <c r="R109" s="386"/>
    </row>
    <row r="110" spans="1:18" s="323" customFormat="1" ht="12.75" x14ac:dyDescent="0.2">
      <c r="A110" s="538"/>
      <c r="B110" s="567"/>
      <c r="C110" s="540"/>
      <c r="D110" s="540"/>
      <c r="E110" s="294" t="s">
        <v>22</v>
      </c>
      <c r="F110" s="29">
        <f>SUM(F109:F109)</f>
        <v>1721.7</v>
      </c>
      <c r="G110" s="29">
        <f>SUM(G109:G109)</f>
        <v>1167.0999999999999</v>
      </c>
      <c r="H110" s="29">
        <f>SUM(H109:H109)</f>
        <v>1684.9</v>
      </c>
      <c r="I110" s="29">
        <f>SUM(I109:I109)</f>
        <v>1900</v>
      </c>
      <c r="J110" s="338"/>
      <c r="K110" s="384"/>
      <c r="L110" s="384"/>
      <c r="M110" s="385"/>
      <c r="N110" s="342"/>
      <c r="O110" s="342"/>
      <c r="P110" s="342"/>
      <c r="Q110" s="342"/>
      <c r="R110" s="334">
        <f>(G110-F110)/F110</f>
        <v>-0.32212348260440271</v>
      </c>
    </row>
    <row r="111" spans="1:18" s="323" customFormat="1" ht="13.5" x14ac:dyDescent="0.2">
      <c r="A111" s="538" t="s">
        <v>0</v>
      </c>
      <c r="B111" s="567" t="s">
        <v>24</v>
      </c>
      <c r="C111" s="540" t="s">
        <v>10</v>
      </c>
      <c r="D111" s="540" t="s">
        <v>21</v>
      </c>
      <c r="E111" s="537" t="s">
        <v>714</v>
      </c>
      <c r="F111" s="537"/>
      <c r="G111" s="537"/>
      <c r="H111" s="537"/>
      <c r="I111" s="537"/>
      <c r="J111" s="326" t="s">
        <v>19</v>
      </c>
      <c r="K111" s="293" t="s">
        <v>713</v>
      </c>
      <c r="L111" s="293" t="s">
        <v>712</v>
      </c>
      <c r="M111" s="327" t="s">
        <v>11</v>
      </c>
      <c r="N111" s="336">
        <v>100</v>
      </c>
      <c r="O111" s="336">
        <v>100</v>
      </c>
      <c r="P111" s="336">
        <v>100</v>
      </c>
      <c r="Q111" s="336" t="s">
        <v>19</v>
      </c>
      <c r="R111" s="322"/>
    </row>
    <row r="112" spans="1:18" s="323" customFormat="1" ht="12.75" x14ac:dyDescent="0.2">
      <c r="A112" s="538"/>
      <c r="B112" s="567"/>
      <c r="C112" s="540"/>
      <c r="D112" s="540"/>
      <c r="E112" s="293" t="s">
        <v>14</v>
      </c>
      <c r="F112" s="106">
        <f>385-30-13.1</f>
        <v>341.9</v>
      </c>
      <c r="G112" s="32">
        <v>350</v>
      </c>
      <c r="H112" s="106">
        <f>ROUND(G112*Lapas1!$B$1, 1)</f>
        <v>378</v>
      </c>
      <c r="I112" s="106">
        <f>ROUND(H112*Lapas1!$B$1, 1)</f>
        <v>408.2</v>
      </c>
      <c r="J112" s="338"/>
      <c r="K112" s="384"/>
      <c r="L112" s="384"/>
      <c r="M112" s="385"/>
      <c r="N112" s="342"/>
      <c r="O112" s="342"/>
      <c r="P112" s="342"/>
      <c r="Q112" s="342"/>
      <c r="R112" s="386"/>
    </row>
    <row r="113" spans="1:18" s="323" customFormat="1" ht="12.75" x14ac:dyDescent="0.2">
      <c r="A113" s="538"/>
      <c r="B113" s="567"/>
      <c r="C113" s="540"/>
      <c r="D113" s="540"/>
      <c r="E113" s="294" t="s">
        <v>22</v>
      </c>
      <c r="F113" s="29">
        <f>SUM(F112:F112)</f>
        <v>341.9</v>
      </c>
      <c r="G113" s="29">
        <f>SUM(G112:G112)</f>
        <v>350</v>
      </c>
      <c r="H113" s="29">
        <f>SUM(H112:H112)</f>
        <v>378</v>
      </c>
      <c r="I113" s="29">
        <f>SUM(I112:I112)</f>
        <v>408.2</v>
      </c>
      <c r="J113" s="338"/>
      <c r="K113" s="384"/>
      <c r="L113" s="384"/>
      <c r="M113" s="385"/>
      <c r="N113" s="342"/>
      <c r="O113" s="342"/>
      <c r="P113" s="342"/>
      <c r="Q113" s="342"/>
      <c r="R113" s="334">
        <f>(G113-F113)/F113</f>
        <v>2.3691137759578894E-2</v>
      </c>
    </row>
    <row r="114" spans="1:18" s="323" customFormat="1" ht="13.5" x14ac:dyDescent="0.2">
      <c r="A114" s="538" t="s">
        <v>0</v>
      </c>
      <c r="B114" s="567" t="s">
        <v>24</v>
      </c>
      <c r="C114" s="540" t="s">
        <v>24</v>
      </c>
      <c r="D114" s="540" t="s">
        <v>21</v>
      </c>
      <c r="E114" s="537" t="s">
        <v>921</v>
      </c>
      <c r="F114" s="537"/>
      <c r="G114" s="537"/>
      <c r="H114" s="537"/>
      <c r="I114" s="537"/>
      <c r="J114" s="326" t="s">
        <v>19</v>
      </c>
      <c r="K114" s="293" t="s">
        <v>711</v>
      </c>
      <c r="L114" s="293" t="s">
        <v>932</v>
      </c>
      <c r="M114" s="327" t="s">
        <v>11</v>
      </c>
      <c r="N114" s="336">
        <v>0</v>
      </c>
      <c r="O114" s="336">
        <v>0</v>
      </c>
      <c r="P114" s="336">
        <v>0</v>
      </c>
      <c r="Q114" s="336" t="s">
        <v>19</v>
      </c>
      <c r="R114" s="322"/>
    </row>
    <row r="115" spans="1:18" s="323" customFormat="1" ht="12.75" x14ac:dyDescent="0.2">
      <c r="A115" s="538"/>
      <c r="B115" s="567"/>
      <c r="C115" s="540"/>
      <c r="D115" s="540"/>
      <c r="E115" s="293" t="s">
        <v>14</v>
      </c>
      <c r="F115" s="32">
        <v>74.2</v>
      </c>
      <c r="G115" s="32"/>
      <c r="H115" s="32"/>
      <c r="I115" s="32"/>
      <c r="J115" s="338"/>
      <c r="K115" s="384"/>
      <c r="L115" s="384"/>
      <c r="M115" s="385"/>
      <c r="N115" s="342"/>
      <c r="O115" s="342"/>
      <c r="P115" s="342"/>
      <c r="Q115" s="342"/>
      <c r="R115" s="386"/>
    </row>
    <row r="116" spans="1:18" s="323" customFormat="1" ht="12.75" x14ac:dyDescent="0.2">
      <c r="A116" s="538"/>
      <c r="B116" s="567"/>
      <c r="C116" s="540"/>
      <c r="D116" s="540"/>
      <c r="E116" s="294" t="s">
        <v>22</v>
      </c>
      <c r="F116" s="29">
        <f>SUM(F115:F115)</f>
        <v>74.2</v>
      </c>
      <c r="G116" s="29">
        <f>SUM(G115:G115)</f>
        <v>0</v>
      </c>
      <c r="H116" s="29">
        <f>SUM(H115:H115)</f>
        <v>0</v>
      </c>
      <c r="I116" s="29">
        <f>SUM(I115:I115)</f>
        <v>0</v>
      </c>
      <c r="J116" s="338"/>
      <c r="K116" s="384"/>
      <c r="L116" s="384"/>
      <c r="M116" s="385"/>
      <c r="N116" s="342"/>
      <c r="O116" s="342"/>
      <c r="P116" s="342"/>
      <c r="Q116" s="342"/>
      <c r="R116" s="334">
        <f>(G116-F116)/F116</f>
        <v>-1</v>
      </c>
    </row>
    <row r="117" spans="1:18" s="323" customFormat="1" ht="12.75" x14ac:dyDescent="0.2">
      <c r="A117" s="351" t="s">
        <v>0</v>
      </c>
      <c r="B117" s="343" t="s">
        <v>24</v>
      </c>
      <c r="C117" s="308"/>
      <c r="D117" s="344" t="s">
        <v>31</v>
      </c>
      <c r="E117" s="345" t="s">
        <v>2</v>
      </c>
      <c r="F117" s="41">
        <f>F110+F113+F116</f>
        <v>2137.7999999999997</v>
      </c>
      <c r="G117" s="41">
        <f>G110+G113+G116</f>
        <v>1517.1</v>
      </c>
      <c r="H117" s="41">
        <f>H110+H113+H116</f>
        <v>2062.9</v>
      </c>
      <c r="I117" s="41">
        <f>I110+I113+I116</f>
        <v>2308.1999999999998</v>
      </c>
      <c r="J117" s="348"/>
      <c r="K117" s="347"/>
      <c r="L117" s="347"/>
      <c r="M117" s="347"/>
      <c r="N117" s="348"/>
      <c r="O117" s="348"/>
      <c r="P117" s="348"/>
      <c r="Q117" s="348"/>
      <c r="R117" s="322"/>
    </row>
    <row r="118" spans="1:18" s="323" customFormat="1" ht="12.75" x14ac:dyDescent="0.2">
      <c r="A118" s="320" t="s">
        <v>0</v>
      </c>
      <c r="B118" s="343" t="s">
        <v>25</v>
      </c>
      <c r="C118" s="308"/>
      <c r="D118" s="82" t="s">
        <v>31</v>
      </c>
      <c r="E118" s="558" t="s">
        <v>710</v>
      </c>
      <c r="F118" s="558"/>
      <c r="G118" s="558"/>
      <c r="H118" s="558"/>
      <c r="I118" s="558"/>
      <c r="J118" s="308" t="s">
        <v>19</v>
      </c>
      <c r="K118" s="324" t="s">
        <v>709</v>
      </c>
      <c r="L118" s="324" t="s">
        <v>708</v>
      </c>
      <c r="M118" s="324" t="s">
        <v>12</v>
      </c>
      <c r="N118" s="308">
        <v>20</v>
      </c>
      <c r="O118" s="308">
        <v>20</v>
      </c>
      <c r="P118" s="308">
        <v>20</v>
      </c>
      <c r="Q118" s="308" t="s">
        <v>19</v>
      </c>
      <c r="R118" s="322"/>
    </row>
    <row r="119" spans="1:18" s="323" customFormat="1" ht="12.75" x14ac:dyDescent="0.2">
      <c r="A119" s="538" t="s">
        <v>0</v>
      </c>
      <c r="B119" s="567" t="s">
        <v>25</v>
      </c>
      <c r="C119" s="540" t="s">
        <v>0</v>
      </c>
      <c r="D119" s="540" t="s">
        <v>21</v>
      </c>
      <c r="E119" s="600" t="s">
        <v>707</v>
      </c>
      <c r="F119" s="600"/>
      <c r="G119" s="600"/>
      <c r="H119" s="600"/>
      <c r="I119" s="600"/>
      <c r="J119" s="536" t="s">
        <v>19</v>
      </c>
      <c r="K119" s="95" t="s">
        <v>706</v>
      </c>
      <c r="L119" s="95" t="s">
        <v>512</v>
      </c>
      <c r="M119" s="328" t="s">
        <v>12</v>
      </c>
      <c r="N119" s="248">
        <v>6</v>
      </c>
      <c r="O119" s="248">
        <v>6</v>
      </c>
      <c r="P119" s="248">
        <v>6</v>
      </c>
      <c r="Q119" s="336" t="s">
        <v>19</v>
      </c>
      <c r="R119" s="322"/>
    </row>
    <row r="120" spans="1:18" s="323" customFormat="1" ht="12.75" x14ac:dyDescent="0.2">
      <c r="A120" s="538"/>
      <c r="B120" s="567"/>
      <c r="C120" s="540"/>
      <c r="D120" s="540"/>
      <c r="E120" s="600"/>
      <c r="F120" s="600"/>
      <c r="G120" s="600"/>
      <c r="H120" s="600"/>
      <c r="I120" s="600"/>
      <c r="J120" s="536"/>
      <c r="K120" s="95" t="s">
        <v>705</v>
      </c>
      <c r="L120" s="95" t="s">
        <v>704</v>
      </c>
      <c r="M120" s="328" t="s">
        <v>12</v>
      </c>
      <c r="N120" s="248">
        <v>20</v>
      </c>
      <c r="O120" s="248">
        <v>20</v>
      </c>
      <c r="P120" s="248">
        <v>20</v>
      </c>
      <c r="Q120" s="336" t="s">
        <v>19</v>
      </c>
      <c r="R120" s="322"/>
    </row>
    <row r="121" spans="1:18" s="323" customFormat="1" ht="12.75" x14ac:dyDescent="0.2">
      <c r="A121" s="538"/>
      <c r="B121" s="567"/>
      <c r="C121" s="540"/>
      <c r="D121" s="540"/>
      <c r="E121" s="293" t="s">
        <v>14</v>
      </c>
      <c r="F121" s="32">
        <v>33</v>
      </c>
      <c r="G121" s="32">
        <v>36</v>
      </c>
      <c r="H121" s="106">
        <f>ROUND(G121*Lapas1!$B$1, 1)</f>
        <v>38.9</v>
      </c>
      <c r="I121" s="106">
        <f>ROUND(H121*Lapas1!$B$1, 1)</f>
        <v>42</v>
      </c>
      <c r="J121" s="338"/>
      <c r="K121" s="384"/>
      <c r="L121" s="384"/>
      <c r="M121" s="385"/>
      <c r="N121" s="342"/>
      <c r="O121" s="342"/>
      <c r="P121" s="342"/>
      <c r="Q121" s="342"/>
      <c r="R121" s="386"/>
    </row>
    <row r="122" spans="1:18" s="323" customFormat="1" ht="12.75" x14ac:dyDescent="0.2">
      <c r="A122" s="538"/>
      <c r="B122" s="567"/>
      <c r="C122" s="540"/>
      <c r="D122" s="540"/>
      <c r="E122" s="294" t="s">
        <v>22</v>
      </c>
      <c r="F122" s="29">
        <f>SUM(F121:F121)</f>
        <v>33</v>
      </c>
      <c r="G122" s="29">
        <f>SUM(G121:G121)</f>
        <v>36</v>
      </c>
      <c r="H122" s="29">
        <f>SUM(H121:H121)</f>
        <v>38.9</v>
      </c>
      <c r="I122" s="29">
        <f>SUM(I121:I121)</f>
        <v>42</v>
      </c>
      <c r="J122" s="338"/>
      <c r="K122" s="384"/>
      <c r="L122" s="384"/>
      <c r="M122" s="385"/>
      <c r="N122" s="342"/>
      <c r="O122" s="342"/>
      <c r="P122" s="342"/>
      <c r="Q122" s="342"/>
      <c r="R122" s="334">
        <f>(G122-F122)/F122</f>
        <v>9.0909090909090912E-2</v>
      </c>
    </row>
    <row r="123" spans="1:18" s="323" customFormat="1" ht="12.75" x14ac:dyDescent="0.2">
      <c r="A123" s="351" t="s">
        <v>0</v>
      </c>
      <c r="B123" s="343" t="s">
        <v>25</v>
      </c>
      <c r="C123" s="344"/>
      <c r="D123" s="344" t="s">
        <v>31</v>
      </c>
      <c r="E123" s="345" t="s">
        <v>275</v>
      </c>
      <c r="F123" s="41">
        <f>F122</f>
        <v>33</v>
      </c>
      <c r="G123" s="41">
        <f>G122</f>
        <v>36</v>
      </c>
      <c r="H123" s="41">
        <f>H122</f>
        <v>38.9</v>
      </c>
      <c r="I123" s="41">
        <f>I122</f>
        <v>42</v>
      </c>
      <c r="J123" s="348"/>
      <c r="K123" s="347"/>
      <c r="L123" s="347"/>
      <c r="M123" s="347"/>
      <c r="N123" s="348"/>
      <c r="O123" s="348"/>
      <c r="P123" s="348"/>
      <c r="Q123" s="348"/>
      <c r="R123" s="322"/>
    </row>
    <row r="124" spans="1:18" s="323" customFormat="1" ht="51" x14ac:dyDescent="0.2">
      <c r="A124" s="538" t="s">
        <v>0</v>
      </c>
      <c r="B124" s="567" t="s">
        <v>26</v>
      </c>
      <c r="C124" s="556"/>
      <c r="D124" s="543" t="s">
        <v>18</v>
      </c>
      <c r="E124" s="558" t="s">
        <v>703</v>
      </c>
      <c r="F124" s="558"/>
      <c r="G124" s="558"/>
      <c r="H124" s="558"/>
      <c r="I124" s="558"/>
      <c r="J124" s="556" t="s">
        <v>970</v>
      </c>
      <c r="K124" s="324" t="s">
        <v>702</v>
      </c>
      <c r="L124" s="324" t="s">
        <v>701</v>
      </c>
      <c r="M124" s="324" t="s">
        <v>11</v>
      </c>
      <c r="N124" s="308">
        <v>5</v>
      </c>
      <c r="O124" s="308">
        <v>5</v>
      </c>
      <c r="P124" s="308">
        <v>5</v>
      </c>
      <c r="Q124" s="556" t="s">
        <v>971</v>
      </c>
      <c r="R124" s="322"/>
    </row>
    <row r="125" spans="1:18" s="323" customFormat="1" ht="12.75" x14ac:dyDescent="0.2">
      <c r="A125" s="538"/>
      <c r="B125" s="567"/>
      <c r="C125" s="556"/>
      <c r="D125" s="543"/>
      <c r="E125" s="558"/>
      <c r="F125" s="558"/>
      <c r="G125" s="558"/>
      <c r="H125" s="558"/>
      <c r="I125" s="558"/>
      <c r="J125" s="556"/>
      <c r="K125" s="324" t="s">
        <v>700</v>
      </c>
      <c r="L125" s="315" t="s">
        <v>699</v>
      </c>
      <c r="M125" s="324" t="s">
        <v>12</v>
      </c>
      <c r="N125" s="308">
        <v>5</v>
      </c>
      <c r="O125" s="308">
        <v>5</v>
      </c>
      <c r="P125" s="308">
        <v>5</v>
      </c>
      <c r="Q125" s="556"/>
      <c r="R125" s="386"/>
    </row>
    <row r="126" spans="1:18" s="323" customFormat="1" ht="12.75" x14ac:dyDescent="0.2">
      <c r="A126" s="538" t="s">
        <v>0</v>
      </c>
      <c r="B126" s="567" t="s">
        <v>26</v>
      </c>
      <c r="C126" s="601" t="s">
        <v>0</v>
      </c>
      <c r="D126" s="601" t="s">
        <v>78</v>
      </c>
      <c r="E126" s="600" t="s">
        <v>698</v>
      </c>
      <c r="F126" s="600"/>
      <c r="G126" s="600"/>
      <c r="H126" s="600"/>
      <c r="I126" s="600"/>
      <c r="J126" s="586" t="s">
        <v>955</v>
      </c>
      <c r="K126" s="95" t="s">
        <v>697</v>
      </c>
      <c r="L126" s="95" t="s">
        <v>696</v>
      </c>
      <c r="M126" s="328" t="s">
        <v>12</v>
      </c>
      <c r="N126" s="248">
        <v>20</v>
      </c>
      <c r="O126" s="248">
        <v>20</v>
      </c>
      <c r="P126" s="248">
        <v>20</v>
      </c>
      <c r="Q126" s="586" t="s">
        <v>971</v>
      </c>
      <c r="R126" s="322"/>
    </row>
    <row r="127" spans="1:18" s="323" customFormat="1" ht="12.75" x14ac:dyDescent="0.2">
      <c r="A127" s="538"/>
      <c r="B127" s="567"/>
      <c r="C127" s="601"/>
      <c r="D127" s="601"/>
      <c r="E127" s="600"/>
      <c r="F127" s="600"/>
      <c r="G127" s="600"/>
      <c r="H127" s="600"/>
      <c r="I127" s="600"/>
      <c r="J127" s="586"/>
      <c r="K127" s="95" t="s">
        <v>695</v>
      </c>
      <c r="L127" s="95" t="s">
        <v>694</v>
      </c>
      <c r="M127" s="328" t="s">
        <v>12</v>
      </c>
      <c r="N127" s="248">
        <v>20</v>
      </c>
      <c r="O127" s="248">
        <v>20</v>
      </c>
      <c r="P127" s="248">
        <v>20</v>
      </c>
      <c r="Q127" s="586"/>
      <c r="R127" s="322"/>
    </row>
    <row r="128" spans="1:18" s="323" customFormat="1" ht="12.75" x14ac:dyDescent="0.2">
      <c r="A128" s="538"/>
      <c r="B128" s="567"/>
      <c r="C128" s="601"/>
      <c r="D128" s="601"/>
      <c r="E128" s="600"/>
      <c r="F128" s="600"/>
      <c r="G128" s="600"/>
      <c r="H128" s="600"/>
      <c r="I128" s="600"/>
      <c r="J128" s="586"/>
      <c r="K128" s="95" t="s">
        <v>693</v>
      </c>
      <c r="L128" s="95" t="s">
        <v>692</v>
      </c>
      <c r="M128" s="328" t="s">
        <v>12</v>
      </c>
      <c r="N128" s="248">
        <v>5</v>
      </c>
      <c r="O128" s="248">
        <v>5</v>
      </c>
      <c r="P128" s="248">
        <v>5</v>
      </c>
      <c r="Q128" s="586"/>
      <c r="R128" s="322"/>
    </row>
    <row r="129" spans="1:18" s="323" customFormat="1" ht="12.75" x14ac:dyDescent="0.2">
      <c r="A129" s="538"/>
      <c r="B129" s="567"/>
      <c r="C129" s="601"/>
      <c r="D129" s="601"/>
      <c r="E129" s="600"/>
      <c r="F129" s="600"/>
      <c r="G129" s="600"/>
      <c r="H129" s="600"/>
      <c r="I129" s="600"/>
      <c r="J129" s="586"/>
      <c r="K129" s="95" t="s">
        <v>691</v>
      </c>
      <c r="L129" s="95" t="s">
        <v>690</v>
      </c>
      <c r="M129" s="328" t="s">
        <v>12</v>
      </c>
      <c r="N129" s="248">
        <v>5</v>
      </c>
      <c r="O129" s="248">
        <v>5</v>
      </c>
      <c r="P129" s="248">
        <v>5</v>
      </c>
      <c r="Q129" s="586"/>
      <c r="R129" s="322"/>
    </row>
    <row r="130" spans="1:18" s="323" customFormat="1" ht="12.75" x14ac:dyDescent="0.2">
      <c r="A130" s="538"/>
      <c r="B130" s="567"/>
      <c r="C130" s="601"/>
      <c r="D130" s="601"/>
      <c r="E130" s="600"/>
      <c r="F130" s="600"/>
      <c r="G130" s="600"/>
      <c r="H130" s="600"/>
      <c r="I130" s="600"/>
      <c r="J130" s="586"/>
      <c r="K130" s="95" t="s">
        <v>689</v>
      </c>
      <c r="L130" s="95" t="s">
        <v>688</v>
      </c>
      <c r="M130" s="328" t="s">
        <v>12</v>
      </c>
      <c r="N130" s="248">
        <v>1</v>
      </c>
      <c r="O130" s="248">
        <v>1</v>
      </c>
      <c r="P130" s="248">
        <v>1</v>
      </c>
      <c r="Q130" s="586"/>
      <c r="R130" s="322"/>
    </row>
    <row r="131" spans="1:18" s="323" customFormat="1" ht="12.75" x14ac:dyDescent="0.2">
      <c r="A131" s="538"/>
      <c r="B131" s="567"/>
      <c r="C131" s="601"/>
      <c r="D131" s="601"/>
      <c r="E131" s="293" t="s">
        <v>14</v>
      </c>
      <c r="F131" s="32">
        <v>11.5</v>
      </c>
      <c r="G131" s="47">
        <v>10</v>
      </c>
      <c r="H131" s="106">
        <f>ROUND(G131*Lapas1!$B$1, 1)</f>
        <v>10.8</v>
      </c>
      <c r="I131" s="106">
        <f>ROUND(H131*Lapas1!$B$1, 1)</f>
        <v>11.7</v>
      </c>
      <c r="J131" s="338"/>
      <c r="K131" s="393"/>
      <c r="L131" s="393"/>
      <c r="M131" s="394"/>
      <c r="N131" s="395"/>
      <c r="O131" s="395"/>
      <c r="P131" s="395"/>
      <c r="Q131" s="395"/>
      <c r="R131" s="386"/>
    </row>
    <row r="132" spans="1:18" s="323" customFormat="1" ht="12.75" x14ac:dyDescent="0.2">
      <c r="A132" s="538"/>
      <c r="B132" s="567"/>
      <c r="C132" s="601"/>
      <c r="D132" s="601"/>
      <c r="E132" s="294" t="s">
        <v>22</v>
      </c>
      <c r="F132" s="29">
        <f>SUM(F131:F131)</f>
        <v>11.5</v>
      </c>
      <c r="G132" s="29">
        <f>SUM(G131:G131)</f>
        <v>10</v>
      </c>
      <c r="H132" s="29">
        <f>SUM(H131:H131)</f>
        <v>10.8</v>
      </c>
      <c r="I132" s="29">
        <f>SUM(I131:I131)</f>
        <v>11.7</v>
      </c>
      <c r="J132" s="338"/>
      <c r="K132" s="393"/>
      <c r="L132" s="393"/>
      <c r="M132" s="394"/>
      <c r="N132" s="395"/>
      <c r="O132" s="395"/>
      <c r="P132" s="395"/>
      <c r="Q132" s="395"/>
      <c r="R132" s="334">
        <f>(G132-F132)/F132</f>
        <v>-0.13043478260869565</v>
      </c>
    </row>
    <row r="133" spans="1:18" s="323" customFormat="1" ht="12.75" x14ac:dyDescent="0.2">
      <c r="A133" s="351" t="s">
        <v>0</v>
      </c>
      <c r="B133" s="343" t="s">
        <v>26</v>
      </c>
      <c r="C133" s="308"/>
      <c r="D133" s="344" t="s">
        <v>18</v>
      </c>
      <c r="E133" s="345" t="s">
        <v>275</v>
      </c>
      <c r="F133" s="41">
        <f>F132</f>
        <v>11.5</v>
      </c>
      <c r="G133" s="41">
        <f>G132</f>
        <v>10</v>
      </c>
      <c r="H133" s="41">
        <f>H132</f>
        <v>10.8</v>
      </c>
      <c r="I133" s="41">
        <f>I132</f>
        <v>11.7</v>
      </c>
      <c r="J133" s="348"/>
      <c r="K133" s="348"/>
      <c r="L133" s="348"/>
      <c r="M133" s="348"/>
      <c r="N133" s="348"/>
      <c r="O133" s="348"/>
      <c r="P133" s="348"/>
      <c r="Q133" s="348"/>
      <c r="R133" s="322"/>
    </row>
    <row r="134" spans="1:18" s="323" customFormat="1" ht="39" customHeight="1" x14ac:dyDescent="0.2">
      <c r="A134" s="351" t="s">
        <v>0</v>
      </c>
      <c r="B134" s="343" t="s">
        <v>27</v>
      </c>
      <c r="C134" s="308"/>
      <c r="D134" s="344" t="s">
        <v>18</v>
      </c>
      <c r="E134" s="608" t="s">
        <v>922</v>
      </c>
      <c r="F134" s="609"/>
      <c r="G134" s="609"/>
      <c r="H134" s="609"/>
      <c r="I134" s="610"/>
      <c r="J134" s="308" t="s">
        <v>19</v>
      </c>
      <c r="K134" s="324" t="s">
        <v>702</v>
      </c>
      <c r="L134" s="324" t="s">
        <v>923</v>
      </c>
      <c r="M134" s="308" t="s">
        <v>11</v>
      </c>
      <c r="N134" s="308">
        <v>60</v>
      </c>
      <c r="O134" s="308">
        <v>60</v>
      </c>
      <c r="P134" s="308">
        <v>60</v>
      </c>
      <c r="Q134" s="308" t="s">
        <v>19</v>
      </c>
      <c r="R134" s="322"/>
    </row>
    <row r="135" spans="1:18" s="323" customFormat="1" ht="24.75" customHeight="1" x14ac:dyDescent="0.2">
      <c r="A135" s="591" t="s">
        <v>0</v>
      </c>
      <c r="B135" s="524" t="s">
        <v>27</v>
      </c>
      <c r="C135" s="602" t="s">
        <v>0</v>
      </c>
      <c r="D135" s="594" t="s">
        <v>78</v>
      </c>
      <c r="E135" s="597" t="s">
        <v>924</v>
      </c>
      <c r="F135" s="598"/>
      <c r="G135" s="598"/>
      <c r="H135" s="598"/>
      <c r="I135" s="599"/>
      <c r="J135" s="248" t="s">
        <v>19</v>
      </c>
      <c r="K135" s="328" t="s">
        <v>925</v>
      </c>
      <c r="L135" s="328" t="s">
        <v>926</v>
      </c>
      <c r="M135" s="248" t="s">
        <v>11</v>
      </c>
      <c r="N135" s="248">
        <v>60</v>
      </c>
      <c r="O135" s="248">
        <v>60</v>
      </c>
      <c r="P135" s="248">
        <v>60</v>
      </c>
      <c r="Q135" s="248" t="s">
        <v>19</v>
      </c>
      <c r="R135" s="322"/>
    </row>
    <row r="136" spans="1:18" s="323" customFormat="1" ht="12.75" x14ac:dyDescent="0.2">
      <c r="A136" s="592"/>
      <c r="B136" s="611"/>
      <c r="C136" s="603"/>
      <c r="D136" s="595"/>
      <c r="E136" s="396" t="s">
        <v>14</v>
      </c>
      <c r="F136" s="47"/>
      <c r="G136" s="47"/>
      <c r="H136" s="47"/>
      <c r="I136" s="47"/>
      <c r="J136" s="397"/>
      <c r="K136" s="397"/>
      <c r="L136" s="397"/>
      <c r="M136" s="397"/>
      <c r="N136" s="397"/>
      <c r="O136" s="397"/>
      <c r="P136" s="397"/>
      <c r="Q136" s="397"/>
      <c r="R136" s="334" t="e">
        <f>(G136-F136)/F136</f>
        <v>#DIV/0!</v>
      </c>
    </row>
    <row r="137" spans="1:18" s="323" customFormat="1" ht="12.75" x14ac:dyDescent="0.2">
      <c r="A137" s="593"/>
      <c r="B137" s="525"/>
      <c r="C137" s="604"/>
      <c r="D137" s="596"/>
      <c r="E137" s="399" t="s">
        <v>22</v>
      </c>
      <c r="F137" s="85">
        <f t="shared" ref="F137:I137" si="1">F136</f>
        <v>0</v>
      </c>
      <c r="G137" s="85">
        <f t="shared" si="1"/>
        <v>0</v>
      </c>
      <c r="H137" s="85">
        <f t="shared" si="1"/>
        <v>0</v>
      </c>
      <c r="I137" s="85">
        <f t="shared" si="1"/>
        <v>0</v>
      </c>
      <c r="J137" s="397"/>
      <c r="K137" s="397"/>
      <c r="L137" s="397"/>
      <c r="M137" s="397"/>
      <c r="N137" s="397"/>
      <c r="O137" s="397"/>
      <c r="P137" s="397"/>
      <c r="Q137" s="397"/>
      <c r="R137" s="398"/>
    </row>
    <row r="138" spans="1:18" s="323" customFormat="1" ht="12.75" x14ac:dyDescent="0.2">
      <c r="A138" s="351"/>
      <c r="B138" s="343"/>
      <c r="C138" s="308"/>
      <c r="D138" s="344"/>
      <c r="E138" s="345" t="s">
        <v>275</v>
      </c>
      <c r="F138" s="41">
        <f>F137</f>
        <v>0</v>
      </c>
      <c r="G138" s="41">
        <f>G137</f>
        <v>0</v>
      </c>
      <c r="H138" s="41">
        <f>H137</f>
        <v>0</v>
      </c>
      <c r="I138" s="41">
        <f>I137</f>
        <v>0</v>
      </c>
      <c r="J138" s="348"/>
      <c r="K138" s="348"/>
      <c r="L138" s="348"/>
      <c r="M138" s="348"/>
      <c r="N138" s="348"/>
      <c r="O138" s="348"/>
      <c r="P138" s="348"/>
      <c r="Q138" s="348"/>
      <c r="R138" s="322"/>
    </row>
    <row r="139" spans="1:18" s="323" customFormat="1" ht="12.75" x14ac:dyDescent="0.2">
      <c r="A139" s="351" t="s">
        <v>0</v>
      </c>
      <c r="B139" s="352"/>
      <c r="C139" s="352"/>
      <c r="D139" s="352"/>
      <c r="E139" s="353" t="s">
        <v>276</v>
      </c>
      <c r="F139" s="37">
        <f>F49+F106+F117+F133+F123+F138</f>
        <v>13607.721</v>
      </c>
      <c r="G139" s="37">
        <f t="shared" ref="G139:I139" si="2">G49+G106+G117+G133+G123+G138</f>
        <v>13772.018</v>
      </c>
      <c r="H139" s="37">
        <f t="shared" si="2"/>
        <v>15298.099999999999</v>
      </c>
      <c r="I139" s="37">
        <f t="shared" si="2"/>
        <v>16602.100000000002</v>
      </c>
      <c r="J139" s="400"/>
      <c r="K139" s="400"/>
      <c r="L139" s="400"/>
      <c r="M139" s="400"/>
      <c r="N139" s="400"/>
      <c r="O139" s="400"/>
      <c r="P139" s="400"/>
      <c r="Q139" s="400"/>
      <c r="R139" s="322"/>
    </row>
    <row r="140" spans="1:18" s="323" customFormat="1" ht="12.75" x14ac:dyDescent="0.2">
      <c r="A140" s="320" t="s">
        <v>10</v>
      </c>
      <c r="B140" s="352"/>
      <c r="C140" s="352"/>
      <c r="D140" s="352"/>
      <c r="E140" s="587" t="s">
        <v>687</v>
      </c>
      <c r="F140" s="587"/>
      <c r="G140" s="587"/>
      <c r="H140" s="587"/>
      <c r="I140" s="587"/>
      <c r="J140" s="587"/>
      <c r="K140" s="587"/>
      <c r="L140" s="587"/>
      <c r="M140" s="587"/>
      <c r="N140" s="587"/>
      <c r="O140" s="587"/>
      <c r="P140" s="587"/>
      <c r="Q140" s="587"/>
      <c r="R140" s="322"/>
    </row>
    <row r="141" spans="1:18" s="323" customFormat="1" ht="25.5" x14ac:dyDescent="0.2">
      <c r="A141" s="320" t="s">
        <v>10</v>
      </c>
      <c r="B141" s="82" t="s">
        <v>0</v>
      </c>
      <c r="C141" s="82"/>
      <c r="D141" s="82" t="s">
        <v>31</v>
      </c>
      <c r="E141" s="558" t="s">
        <v>686</v>
      </c>
      <c r="F141" s="558"/>
      <c r="G141" s="558"/>
      <c r="H141" s="558"/>
      <c r="I141" s="558"/>
      <c r="J141" s="308" t="s">
        <v>19</v>
      </c>
      <c r="K141" s="324" t="s">
        <v>685</v>
      </c>
      <c r="L141" s="324" t="s">
        <v>684</v>
      </c>
      <c r="M141" s="324" t="s">
        <v>11</v>
      </c>
      <c r="N141" s="308">
        <v>90</v>
      </c>
      <c r="O141" s="308">
        <v>90</v>
      </c>
      <c r="P141" s="308">
        <v>90</v>
      </c>
      <c r="Q141" s="401" t="s">
        <v>19</v>
      </c>
      <c r="R141" s="322"/>
    </row>
    <row r="142" spans="1:18" s="323" customFormat="1" ht="13.5" x14ac:dyDescent="0.2">
      <c r="A142" s="591" t="s">
        <v>10</v>
      </c>
      <c r="B142" s="539" t="s">
        <v>0</v>
      </c>
      <c r="C142" s="536" t="s">
        <v>0</v>
      </c>
      <c r="D142" s="536" t="s">
        <v>21</v>
      </c>
      <c r="E142" s="537" t="s">
        <v>683</v>
      </c>
      <c r="F142" s="537"/>
      <c r="G142" s="537"/>
      <c r="H142" s="537"/>
      <c r="I142" s="537"/>
      <c r="J142" s="326" t="s">
        <v>19</v>
      </c>
      <c r="K142" s="95" t="s">
        <v>682</v>
      </c>
      <c r="L142" s="95" t="s">
        <v>681</v>
      </c>
      <c r="M142" s="327" t="s">
        <v>12</v>
      </c>
      <c r="N142" s="336">
        <v>2</v>
      </c>
      <c r="O142" s="336">
        <v>2</v>
      </c>
      <c r="P142" s="336">
        <v>2</v>
      </c>
      <c r="Q142" s="298" t="s">
        <v>19</v>
      </c>
      <c r="R142" s="322"/>
    </row>
    <row r="143" spans="1:18" s="323" customFormat="1" ht="12.75" x14ac:dyDescent="0.2">
      <c r="A143" s="592"/>
      <c r="B143" s="539"/>
      <c r="C143" s="536"/>
      <c r="D143" s="536"/>
      <c r="E143" s="293" t="s">
        <v>14</v>
      </c>
      <c r="F143" s="32">
        <v>0</v>
      </c>
      <c r="G143" s="32">
        <v>1.5</v>
      </c>
      <c r="H143" s="106">
        <f>ROUND(G143*Lapas1!$B$1, 1)</f>
        <v>1.6</v>
      </c>
      <c r="I143" s="106">
        <f>ROUND(H143*Lapas1!$B$1, 1)</f>
        <v>1.7</v>
      </c>
      <c r="J143" s="338"/>
      <c r="K143" s="384"/>
      <c r="L143" s="384"/>
      <c r="M143" s="385"/>
      <c r="N143" s="342"/>
      <c r="O143" s="342"/>
      <c r="P143" s="342"/>
      <c r="Q143" s="395"/>
      <c r="R143" s="386"/>
    </row>
    <row r="144" spans="1:18" s="323" customFormat="1" ht="12.75" x14ac:dyDescent="0.2">
      <c r="A144" s="593"/>
      <c r="B144" s="539"/>
      <c r="C144" s="536"/>
      <c r="D144" s="536"/>
      <c r="E144" s="294" t="s">
        <v>22</v>
      </c>
      <c r="F144" s="29">
        <f>SUM(F143:F143)</f>
        <v>0</v>
      </c>
      <c r="G144" s="29">
        <f>SUM(G143:G143)</f>
        <v>1.5</v>
      </c>
      <c r="H144" s="29">
        <f>SUM(H143:H143)</f>
        <v>1.6</v>
      </c>
      <c r="I144" s="29">
        <f>SUM(I143:I143)</f>
        <v>1.7</v>
      </c>
      <c r="J144" s="338"/>
      <c r="K144" s="384"/>
      <c r="L144" s="384"/>
      <c r="M144" s="385"/>
      <c r="N144" s="342"/>
      <c r="O144" s="342"/>
      <c r="P144" s="342"/>
      <c r="Q144" s="395"/>
      <c r="R144" s="334" t="e">
        <f>(G144-F144)/F144</f>
        <v>#DIV/0!</v>
      </c>
    </row>
    <row r="145" spans="1:18" s="323" customFormat="1" ht="13.5" x14ac:dyDescent="0.2">
      <c r="A145" s="591" t="s">
        <v>10</v>
      </c>
      <c r="B145" s="539" t="s">
        <v>0</v>
      </c>
      <c r="C145" s="540" t="s">
        <v>10</v>
      </c>
      <c r="D145" s="540" t="s">
        <v>296</v>
      </c>
      <c r="E145" s="537" t="s">
        <v>680</v>
      </c>
      <c r="F145" s="537"/>
      <c r="G145" s="537"/>
      <c r="H145" s="537"/>
      <c r="I145" s="537"/>
      <c r="J145" s="326" t="s">
        <v>19</v>
      </c>
      <c r="K145" s="293" t="s">
        <v>679</v>
      </c>
      <c r="L145" s="327" t="s">
        <v>678</v>
      </c>
      <c r="M145" s="327" t="s">
        <v>12</v>
      </c>
      <c r="N145" s="359">
        <v>1</v>
      </c>
      <c r="O145" s="359">
        <v>1</v>
      </c>
      <c r="P145" s="389">
        <v>1</v>
      </c>
      <c r="Q145" s="402" t="s">
        <v>19</v>
      </c>
      <c r="R145" s="322"/>
    </row>
    <row r="146" spans="1:18" s="323" customFormat="1" ht="12.75" x14ac:dyDescent="0.2">
      <c r="A146" s="592"/>
      <c r="B146" s="539"/>
      <c r="C146" s="540"/>
      <c r="D146" s="540"/>
      <c r="E146" s="293" t="s">
        <v>14</v>
      </c>
      <c r="F146" s="32"/>
      <c r="G146" s="32"/>
      <c r="H146" s="32"/>
      <c r="I146" s="32"/>
      <c r="J146" s="338"/>
      <c r="K146" s="384"/>
      <c r="L146" s="384"/>
      <c r="M146" s="385"/>
      <c r="N146" s="342"/>
      <c r="O146" s="342"/>
      <c r="P146" s="342"/>
      <c r="Q146" s="395"/>
      <c r="R146" s="386"/>
    </row>
    <row r="147" spans="1:18" s="323" customFormat="1" ht="12.75" x14ac:dyDescent="0.2">
      <c r="A147" s="593"/>
      <c r="B147" s="539"/>
      <c r="C147" s="540"/>
      <c r="D147" s="540"/>
      <c r="E147" s="294" t="s">
        <v>22</v>
      </c>
      <c r="F147" s="29">
        <f>SUM(F146:F146)</f>
        <v>0</v>
      </c>
      <c r="G147" s="29">
        <f>SUM(G146:G146)</f>
        <v>0</v>
      </c>
      <c r="H147" s="29">
        <f>SUM(H146:H146)</f>
        <v>0</v>
      </c>
      <c r="I147" s="29">
        <f>SUM(I146:I146)</f>
        <v>0</v>
      </c>
      <c r="J147" s="338"/>
      <c r="K147" s="384"/>
      <c r="L147" s="384"/>
      <c r="M147" s="385"/>
      <c r="N147" s="342"/>
      <c r="O147" s="342"/>
      <c r="P147" s="342"/>
      <c r="Q147" s="395"/>
      <c r="R147" s="334" t="e">
        <f>(G147-F147)/F147</f>
        <v>#DIV/0!</v>
      </c>
    </row>
    <row r="148" spans="1:18" s="323" customFormat="1" ht="12.75" x14ac:dyDescent="0.2">
      <c r="A148" s="591" t="s">
        <v>10</v>
      </c>
      <c r="B148" s="539" t="s">
        <v>0</v>
      </c>
      <c r="C148" s="540" t="s">
        <v>24</v>
      </c>
      <c r="D148" s="540" t="s">
        <v>21</v>
      </c>
      <c r="E148" s="537" t="s">
        <v>677</v>
      </c>
      <c r="F148" s="537"/>
      <c r="G148" s="537"/>
      <c r="H148" s="537"/>
      <c r="I148" s="537"/>
      <c r="J148" s="536" t="s">
        <v>19</v>
      </c>
      <c r="K148" s="293" t="s">
        <v>676</v>
      </c>
      <c r="L148" s="293" t="s">
        <v>675</v>
      </c>
      <c r="M148" s="327" t="s">
        <v>12</v>
      </c>
      <c r="N148" s="336">
        <v>1</v>
      </c>
      <c r="O148" s="336">
        <v>1</v>
      </c>
      <c r="P148" s="336">
        <v>1</v>
      </c>
      <c r="Q148" s="298" t="s">
        <v>19</v>
      </c>
      <c r="R148" s="322"/>
    </row>
    <row r="149" spans="1:18" s="323" customFormat="1" ht="12.75" x14ac:dyDescent="0.2">
      <c r="A149" s="592"/>
      <c r="B149" s="539"/>
      <c r="C149" s="540"/>
      <c r="D149" s="540"/>
      <c r="E149" s="537"/>
      <c r="F149" s="537"/>
      <c r="G149" s="537"/>
      <c r="H149" s="537"/>
      <c r="I149" s="537"/>
      <c r="J149" s="536"/>
      <c r="K149" s="293" t="s">
        <v>674</v>
      </c>
      <c r="L149" s="293" t="s">
        <v>673</v>
      </c>
      <c r="M149" s="327" t="s">
        <v>12</v>
      </c>
      <c r="N149" s="336">
        <v>1</v>
      </c>
      <c r="O149" s="336">
        <v>1</v>
      </c>
      <c r="P149" s="336">
        <v>1</v>
      </c>
      <c r="Q149" s="298" t="s">
        <v>19</v>
      </c>
      <c r="R149" s="322"/>
    </row>
    <row r="150" spans="1:18" s="323" customFormat="1" ht="12.75" x14ac:dyDescent="0.2">
      <c r="A150" s="592"/>
      <c r="B150" s="539"/>
      <c r="C150" s="540"/>
      <c r="D150" s="540"/>
      <c r="E150" s="293" t="s">
        <v>14</v>
      </c>
      <c r="F150" s="32">
        <v>1</v>
      </c>
      <c r="G150" s="32">
        <v>1</v>
      </c>
      <c r="H150" s="106">
        <f>ROUND(G150*Lapas1!$B$1, 1)</f>
        <v>1.1000000000000001</v>
      </c>
      <c r="I150" s="106">
        <f>ROUND(H150*Lapas1!$B$1, 1)</f>
        <v>1.2</v>
      </c>
      <c r="J150" s="338"/>
      <c r="K150" s="393"/>
      <c r="L150" s="393"/>
      <c r="M150" s="394"/>
      <c r="N150" s="395"/>
      <c r="O150" s="395"/>
      <c r="P150" s="395"/>
      <c r="Q150" s="395"/>
      <c r="R150" s="386"/>
    </row>
    <row r="151" spans="1:18" s="323" customFormat="1" ht="12.75" x14ac:dyDescent="0.2">
      <c r="A151" s="593"/>
      <c r="B151" s="539"/>
      <c r="C151" s="540"/>
      <c r="D151" s="540"/>
      <c r="E151" s="294" t="s">
        <v>22</v>
      </c>
      <c r="F151" s="29">
        <f>SUM(F150:F150)</f>
        <v>1</v>
      </c>
      <c r="G151" s="29">
        <f>SUM(G150:G150)</f>
        <v>1</v>
      </c>
      <c r="H151" s="29">
        <f>SUM(H150:H150)</f>
        <v>1.1000000000000001</v>
      </c>
      <c r="I151" s="29">
        <f>SUM(I150:I150)</f>
        <v>1.2</v>
      </c>
      <c r="J151" s="338"/>
      <c r="K151" s="393"/>
      <c r="L151" s="393"/>
      <c r="M151" s="394"/>
      <c r="N151" s="395"/>
      <c r="O151" s="395"/>
      <c r="P151" s="395"/>
      <c r="Q151" s="395"/>
      <c r="R151" s="334">
        <f>(G150-F150)/147</f>
        <v>0</v>
      </c>
    </row>
    <row r="152" spans="1:18" s="323" customFormat="1" ht="25.5" x14ac:dyDescent="0.2">
      <c r="A152" s="591" t="s">
        <v>10</v>
      </c>
      <c r="B152" s="539" t="s">
        <v>0</v>
      </c>
      <c r="C152" s="540" t="s">
        <v>25</v>
      </c>
      <c r="D152" s="540" t="s">
        <v>21</v>
      </c>
      <c r="E152" s="537" t="s">
        <v>896</v>
      </c>
      <c r="F152" s="537"/>
      <c r="G152" s="537"/>
      <c r="H152" s="537"/>
      <c r="I152" s="537"/>
      <c r="J152" s="589" t="s">
        <v>19</v>
      </c>
      <c r="K152" s="95" t="s">
        <v>897</v>
      </c>
      <c r="L152" s="95" t="s">
        <v>899</v>
      </c>
      <c r="M152" s="328" t="s">
        <v>12</v>
      </c>
      <c r="N152" s="248">
        <v>100</v>
      </c>
      <c r="O152" s="248">
        <v>100</v>
      </c>
      <c r="P152" s="248">
        <v>100</v>
      </c>
      <c r="Q152" s="298" t="s">
        <v>19</v>
      </c>
      <c r="R152" s="322"/>
    </row>
    <row r="153" spans="1:18" s="323" customFormat="1" ht="12.75" x14ac:dyDescent="0.2">
      <c r="A153" s="592"/>
      <c r="B153" s="539"/>
      <c r="C153" s="540"/>
      <c r="D153" s="540"/>
      <c r="E153" s="537"/>
      <c r="F153" s="537"/>
      <c r="G153" s="537"/>
      <c r="H153" s="537"/>
      <c r="I153" s="537"/>
      <c r="J153" s="590"/>
      <c r="K153" s="95" t="s">
        <v>898</v>
      </c>
      <c r="L153" s="95" t="s">
        <v>675</v>
      </c>
      <c r="M153" s="328" t="s">
        <v>12</v>
      </c>
      <c r="N153" s="248">
        <v>2</v>
      </c>
      <c r="O153" s="248">
        <v>2</v>
      </c>
      <c r="P153" s="248">
        <v>2</v>
      </c>
      <c r="Q153" s="298" t="s">
        <v>19</v>
      </c>
      <c r="R153" s="322"/>
    </row>
    <row r="154" spans="1:18" s="323" customFormat="1" ht="12.75" x14ac:dyDescent="0.2">
      <c r="A154" s="592"/>
      <c r="B154" s="539"/>
      <c r="C154" s="540"/>
      <c r="D154" s="540"/>
      <c r="E154" s="293" t="s">
        <v>14</v>
      </c>
      <c r="F154" s="32">
        <v>0</v>
      </c>
      <c r="G154" s="32">
        <v>1</v>
      </c>
      <c r="H154" s="106">
        <f>ROUND(G154*Lapas1!$B$1, 1)</f>
        <v>1.1000000000000001</v>
      </c>
      <c r="I154" s="106">
        <f>ROUND(H154*Lapas1!$B$1, 1)</f>
        <v>1.2</v>
      </c>
      <c r="J154" s="338"/>
      <c r="K154" s="393"/>
      <c r="L154" s="393"/>
      <c r="M154" s="394"/>
      <c r="N154" s="395"/>
      <c r="O154" s="395"/>
      <c r="P154" s="395"/>
      <c r="Q154" s="395"/>
      <c r="R154" s="386"/>
    </row>
    <row r="155" spans="1:18" s="323" customFormat="1" ht="12.75" x14ac:dyDescent="0.2">
      <c r="A155" s="593"/>
      <c r="B155" s="539"/>
      <c r="C155" s="540"/>
      <c r="D155" s="540"/>
      <c r="E155" s="294" t="s">
        <v>22</v>
      </c>
      <c r="F155" s="29">
        <f>SUM(F154:F154)</f>
        <v>0</v>
      </c>
      <c r="G155" s="29">
        <f>SUM(G154:G154)</f>
        <v>1</v>
      </c>
      <c r="H155" s="29">
        <f>SUM(H154:H154)</f>
        <v>1.1000000000000001</v>
      </c>
      <c r="I155" s="29">
        <f>SUM(I154:I154)</f>
        <v>1.2</v>
      </c>
      <c r="J155" s="338"/>
      <c r="K155" s="393"/>
      <c r="L155" s="393"/>
      <c r="M155" s="394"/>
      <c r="N155" s="395"/>
      <c r="O155" s="395"/>
      <c r="P155" s="395"/>
      <c r="Q155" s="395"/>
      <c r="R155" s="334">
        <f>(G154-F154)/147</f>
        <v>6.8027210884353739E-3</v>
      </c>
    </row>
    <row r="156" spans="1:18" s="323" customFormat="1" ht="12.75" x14ac:dyDescent="0.2">
      <c r="A156" s="351" t="s">
        <v>10</v>
      </c>
      <c r="B156" s="343" t="s">
        <v>0</v>
      </c>
      <c r="C156" s="344"/>
      <c r="D156" s="344" t="s">
        <v>31</v>
      </c>
      <c r="E156" s="345" t="s">
        <v>275</v>
      </c>
      <c r="F156" s="41">
        <f>F144+F147+F151+F154</f>
        <v>1</v>
      </c>
      <c r="G156" s="41">
        <f>G144+G147+G151+G154</f>
        <v>3.5</v>
      </c>
      <c r="H156" s="41">
        <f>H144+H147+H151+H154</f>
        <v>3.8000000000000003</v>
      </c>
      <c r="I156" s="41">
        <f>I144+I147+I151+I154</f>
        <v>4.0999999999999996</v>
      </c>
      <c r="J156" s="348"/>
      <c r="K156" s="348"/>
      <c r="L156" s="348"/>
      <c r="M156" s="348"/>
      <c r="N156" s="348"/>
      <c r="O156" s="348"/>
      <c r="P156" s="348"/>
      <c r="Q156" s="348"/>
      <c r="R156" s="322"/>
    </row>
    <row r="157" spans="1:18" s="323" customFormat="1" ht="12.75" x14ac:dyDescent="0.2">
      <c r="A157" s="351" t="s">
        <v>10</v>
      </c>
      <c r="B157" s="352"/>
      <c r="C157" s="352"/>
      <c r="D157" s="352"/>
      <c r="E157" s="353" t="s">
        <v>276</v>
      </c>
      <c r="F157" s="37">
        <f>F156</f>
        <v>1</v>
      </c>
      <c r="G157" s="37">
        <f>G156</f>
        <v>3.5</v>
      </c>
      <c r="H157" s="37">
        <f>H156</f>
        <v>3.8000000000000003</v>
      </c>
      <c r="I157" s="37">
        <f>I156</f>
        <v>4.0999999999999996</v>
      </c>
      <c r="J157" s="400"/>
      <c r="K157" s="400"/>
      <c r="L157" s="400"/>
      <c r="M157" s="400"/>
      <c r="N157" s="400"/>
      <c r="O157" s="400"/>
      <c r="P157" s="400"/>
      <c r="Q157" s="400"/>
      <c r="R157" s="322"/>
    </row>
    <row r="158" spans="1:18" s="323" customFormat="1" ht="12.75" x14ac:dyDescent="0.2">
      <c r="A158" s="50"/>
      <c r="B158" s="50"/>
      <c r="C158" s="50"/>
      <c r="D158" s="50"/>
      <c r="E158" s="370" t="s">
        <v>277</v>
      </c>
      <c r="F158" s="22">
        <f>F139+F157</f>
        <v>13608.721</v>
      </c>
      <c r="G158" s="22">
        <f>G139+G157</f>
        <v>13775.518</v>
      </c>
      <c r="H158" s="22">
        <f>H139+H157</f>
        <v>15301.899999999998</v>
      </c>
      <c r="I158" s="22">
        <f>I139+I157</f>
        <v>16606.2</v>
      </c>
      <c r="J158" s="403"/>
      <c r="K158" s="403"/>
      <c r="L158" s="403"/>
      <c r="M158" s="403"/>
      <c r="N158" s="403"/>
      <c r="O158" s="403"/>
      <c r="P158" s="403"/>
      <c r="Q158" s="403"/>
      <c r="R158" s="322"/>
    </row>
    <row r="159" spans="1:18" ht="39.75" customHeight="1" x14ac:dyDescent="0.2">
      <c r="A159" s="566" t="s">
        <v>876</v>
      </c>
      <c r="B159" s="566"/>
      <c r="C159" s="566"/>
      <c r="D159" s="566"/>
      <c r="E159" s="566"/>
      <c r="F159" s="566"/>
      <c r="G159" s="566"/>
      <c r="H159" s="566"/>
      <c r="I159" s="566"/>
      <c r="J159" s="566"/>
      <c r="K159" s="566"/>
    </row>
    <row r="160" spans="1:18" ht="28.5" customHeight="1" x14ac:dyDescent="0.2">
      <c r="A160" s="565" t="s">
        <v>881</v>
      </c>
      <c r="B160" s="565"/>
      <c r="C160" s="565"/>
      <c r="D160" s="565"/>
      <c r="E160" s="565"/>
      <c r="F160" s="565"/>
      <c r="G160" s="565"/>
      <c r="H160" s="565"/>
      <c r="I160" s="565"/>
      <c r="J160" s="565"/>
      <c r="K160" s="565"/>
    </row>
    <row r="161" spans="1:18" ht="18" customHeight="1" x14ac:dyDescent="0.2">
      <c r="R161" s="379"/>
    </row>
    <row r="162" spans="1:18" ht="12.75" x14ac:dyDescent="0.2">
      <c r="A162" s="561" t="s">
        <v>4</v>
      </c>
      <c r="B162" s="561"/>
      <c r="C162" s="561"/>
      <c r="D162" s="561"/>
      <c r="E162" s="561"/>
      <c r="F162" s="561"/>
      <c r="G162" s="561"/>
      <c r="H162" s="561"/>
      <c r="I162" s="561"/>
    </row>
    <row r="163" spans="1:18" ht="27.75" customHeight="1" x14ac:dyDescent="0.2">
      <c r="A163" s="588" t="s">
        <v>13</v>
      </c>
      <c r="B163" s="588"/>
      <c r="C163" s="588"/>
      <c r="D163" s="588"/>
      <c r="E163" s="404" t="s">
        <v>14</v>
      </c>
      <c r="F163" s="29">
        <f>F17+F22+F29+F37+F42+F47+F79+F109+F112+F115+F121+F131+F143+F147+F150+F136+F154</f>
        <v>11737.700000000003</v>
      </c>
      <c r="G163" s="29">
        <f t="shared" ref="G163:I163" si="3">G17+G22+G29+G37+G42+G47+G79+G109+G112+G115+G121+G131+G143+G147+G150+G136+G154</f>
        <v>11777.000000000002</v>
      </c>
      <c r="H163" s="29">
        <f t="shared" si="3"/>
        <v>13143.699999999999</v>
      </c>
      <c r="I163" s="29">
        <f t="shared" si="3"/>
        <v>14275.400000000003</v>
      </c>
    </row>
    <row r="164" spans="1:18" ht="27.75" customHeight="1" x14ac:dyDescent="0.2">
      <c r="A164" s="588" t="s">
        <v>20</v>
      </c>
      <c r="B164" s="588"/>
      <c r="C164" s="588"/>
      <c r="D164" s="588"/>
      <c r="E164" s="404" t="s">
        <v>15</v>
      </c>
      <c r="F164" s="29">
        <f>F44+F52+F55+F58+F63+F66+F69+F72+F80+F83+F86+F91+F94+F97+F100+F104</f>
        <v>1664.9209999999998</v>
      </c>
      <c r="G164" s="29">
        <f>G44+G52+G55+G58+G63+G66+G69+G72+G80+G83+G86+G91+G94+G97+G100+G104</f>
        <v>1726.2180000000001</v>
      </c>
      <c r="H164" s="29">
        <f t="shared" ref="H164" si="4">H44+H52+H55+H58+H63+H66+H69+H72+H80+H83+H86+H91+H94+H97+H100+H104</f>
        <v>1864.1000000000001</v>
      </c>
      <c r="I164" s="29">
        <f>I44+I52+I55+I58+I63+I66+I69+I72+I80+I83+I86+I91+I94+I97+I100+I104</f>
        <v>2013.2</v>
      </c>
    </row>
    <row r="165" spans="1:18" ht="50.25" customHeight="1" x14ac:dyDescent="0.2">
      <c r="A165" s="588" t="s">
        <v>16</v>
      </c>
      <c r="B165" s="588"/>
      <c r="C165" s="588"/>
      <c r="D165" s="588"/>
      <c r="E165" s="404" t="s">
        <v>17</v>
      </c>
      <c r="F165" s="29">
        <f>F23+F38+F43</f>
        <v>206.1</v>
      </c>
      <c r="G165" s="29">
        <f>G23+G38+G43</f>
        <v>272.3</v>
      </c>
      <c r="H165" s="29">
        <f>H23+H38+H43</f>
        <v>294.09999999999997</v>
      </c>
      <c r="I165" s="29">
        <f>I23+I38+I43</f>
        <v>317.60000000000002</v>
      </c>
    </row>
    <row r="166" spans="1:18" ht="27.75" customHeight="1" x14ac:dyDescent="0.2">
      <c r="A166" s="588" t="s">
        <v>268</v>
      </c>
      <c r="B166" s="588"/>
      <c r="C166" s="588"/>
      <c r="D166" s="588"/>
      <c r="E166" s="404" t="s">
        <v>269</v>
      </c>
      <c r="F166" s="60"/>
      <c r="G166" s="405"/>
      <c r="H166" s="60"/>
      <c r="I166" s="60"/>
    </row>
    <row r="167" spans="1:18" ht="27.75" customHeight="1" x14ac:dyDescent="0.2">
      <c r="A167" s="588" t="s">
        <v>267</v>
      </c>
      <c r="B167" s="588"/>
      <c r="C167" s="588"/>
      <c r="D167" s="588"/>
      <c r="E167" s="404" t="s">
        <v>18</v>
      </c>
      <c r="F167" s="60"/>
      <c r="G167" s="405"/>
      <c r="H167" s="60"/>
      <c r="I167" s="60"/>
    </row>
    <row r="168" spans="1:18" ht="12.75" x14ac:dyDescent="0.2">
      <c r="A168" s="588" t="s">
        <v>179</v>
      </c>
      <c r="B168" s="588"/>
      <c r="C168" s="588"/>
      <c r="D168" s="588"/>
      <c r="E168" s="404" t="s">
        <v>170</v>
      </c>
      <c r="F168" s="60"/>
      <c r="G168" s="405"/>
      <c r="H168" s="60"/>
      <c r="I168" s="60"/>
    </row>
    <row r="169" spans="1:18" ht="27" customHeight="1" x14ac:dyDescent="0.2">
      <c r="A169" s="563" t="s">
        <v>3</v>
      </c>
      <c r="B169" s="563"/>
      <c r="C169" s="563"/>
      <c r="D169" s="563"/>
      <c r="E169" s="563"/>
      <c r="F169" s="54">
        <f>SUM(F163:F168)</f>
        <v>13608.721000000003</v>
      </c>
      <c r="G169" s="54">
        <f>SUM(G163:G168)</f>
        <v>13775.518000000002</v>
      </c>
      <c r="H169" s="54">
        <f>SUM(H163:H168)</f>
        <v>15301.9</v>
      </c>
      <c r="I169" s="54">
        <f>SUM(I163:I168)</f>
        <v>16606.200000000004</v>
      </c>
    </row>
    <row r="170" spans="1:18" ht="12.75" x14ac:dyDescent="0.2">
      <c r="A170" s="562" t="s">
        <v>7</v>
      </c>
      <c r="B170" s="562"/>
      <c r="C170" s="562"/>
      <c r="D170" s="562"/>
      <c r="E170" s="562"/>
      <c r="F170" s="58"/>
      <c r="G170" s="58"/>
      <c r="H170" s="58"/>
      <c r="I170" s="58"/>
    </row>
    <row r="171" spans="1:18" ht="12.75" x14ac:dyDescent="0.2">
      <c r="A171" s="562" t="s">
        <v>5</v>
      </c>
      <c r="B171" s="562"/>
      <c r="C171" s="562"/>
      <c r="D171" s="562"/>
      <c r="E171" s="562"/>
      <c r="F171" s="58">
        <f>F132+F137</f>
        <v>11.5</v>
      </c>
      <c r="G171" s="58">
        <f t="shared" ref="G171:I171" si="5">G132+G137</f>
        <v>10</v>
      </c>
      <c r="H171" s="58">
        <f t="shared" si="5"/>
        <v>10.8</v>
      </c>
      <c r="I171" s="58">
        <f t="shared" si="5"/>
        <v>11.7</v>
      </c>
    </row>
    <row r="172" spans="1:18" ht="18" customHeight="1" x14ac:dyDescent="0.2">
      <c r="A172" s="562" t="s">
        <v>6</v>
      </c>
      <c r="B172" s="562"/>
      <c r="C172" s="562"/>
      <c r="D172" s="562"/>
      <c r="E172" s="562"/>
      <c r="F172" s="58">
        <f>F169-F171</f>
        <v>13597.221000000003</v>
      </c>
      <c r="G172" s="58">
        <f t="shared" ref="G172:I172" si="6">G169-G171</f>
        <v>13765.518000000002</v>
      </c>
      <c r="H172" s="58">
        <f t="shared" si="6"/>
        <v>15291.1</v>
      </c>
      <c r="I172" s="58">
        <f t="shared" si="6"/>
        <v>16594.500000000004</v>
      </c>
    </row>
    <row r="174" spans="1:18" ht="18" hidden="1" customHeight="1" x14ac:dyDescent="0.2">
      <c r="E174" s="10" t="s">
        <v>23</v>
      </c>
      <c r="F174" s="13">
        <f>F169-F158</f>
        <v>0</v>
      </c>
      <c r="G174" s="13">
        <f>G169-G158</f>
        <v>0</v>
      </c>
      <c r="H174" s="13">
        <f>H169-H158</f>
        <v>0</v>
      </c>
      <c r="I174" s="13">
        <f>I169-I158</f>
        <v>0</v>
      </c>
    </row>
  </sheetData>
  <mergeCells count="216">
    <mergeCell ref="A169:E169"/>
    <mergeCell ref="A170:E170"/>
    <mergeCell ref="A171:E171"/>
    <mergeCell ref="A172:E172"/>
    <mergeCell ref="A164:D164"/>
    <mergeCell ref="A165:D165"/>
    <mergeCell ref="A166:D166"/>
    <mergeCell ref="J119:J120"/>
    <mergeCell ref="B124:B125"/>
    <mergeCell ref="J124:J125"/>
    <mergeCell ref="E124:I125"/>
    <mergeCell ref="B126:B132"/>
    <mergeCell ref="J126:J130"/>
    <mergeCell ref="E126:I130"/>
    <mergeCell ref="C145:C147"/>
    <mergeCell ref="J148:J149"/>
    <mergeCell ref="B148:B151"/>
    <mergeCell ref="C148:C151"/>
    <mergeCell ref="A167:D167"/>
    <mergeCell ref="A168:D168"/>
    <mergeCell ref="A160:K160"/>
    <mergeCell ref="E134:I134"/>
    <mergeCell ref="A135:A137"/>
    <mergeCell ref="B135:B137"/>
    <mergeCell ref="D82:D84"/>
    <mergeCell ref="E82:I82"/>
    <mergeCell ref="C85:C87"/>
    <mergeCell ref="C88:C92"/>
    <mergeCell ref="J88:J90"/>
    <mergeCell ref="C93:C95"/>
    <mergeCell ref="C96:C98"/>
    <mergeCell ref="C99:C101"/>
    <mergeCell ref="C102:C105"/>
    <mergeCell ref="J102:J103"/>
    <mergeCell ref="J60:J62"/>
    <mergeCell ref="C71:C73"/>
    <mergeCell ref="D71:D73"/>
    <mergeCell ref="C74:C81"/>
    <mergeCell ref="D74:D81"/>
    <mergeCell ref="E74:I78"/>
    <mergeCell ref="J74:J78"/>
    <mergeCell ref="D65:D67"/>
    <mergeCell ref="D68:D70"/>
    <mergeCell ref="J15:J16"/>
    <mergeCell ref="C19:C24"/>
    <mergeCell ref="J19:J21"/>
    <mergeCell ref="J25:J28"/>
    <mergeCell ref="C31:C39"/>
    <mergeCell ref="J31:J36"/>
    <mergeCell ref="D25:D30"/>
    <mergeCell ref="D31:D39"/>
    <mergeCell ref="C40:C45"/>
    <mergeCell ref="J40:J41"/>
    <mergeCell ref="D40:D45"/>
    <mergeCell ref="D15:D18"/>
    <mergeCell ref="D19:D24"/>
    <mergeCell ref="E19:I21"/>
    <mergeCell ref="C15:C18"/>
    <mergeCell ref="E15:I16"/>
    <mergeCell ref="J9:J10"/>
    <mergeCell ref="K9:K10"/>
    <mergeCell ref="L9:M9"/>
    <mergeCell ref="N9:P9"/>
    <mergeCell ref="A8:P8"/>
    <mergeCell ref="E9:E10"/>
    <mergeCell ref="R9:R10"/>
    <mergeCell ref="A13:A14"/>
    <mergeCell ref="B13:B14"/>
    <mergeCell ref="J13:J14"/>
    <mergeCell ref="H9:H10"/>
    <mergeCell ref="G9:G10"/>
    <mergeCell ref="F9:F10"/>
    <mergeCell ref="I9:I10"/>
    <mergeCell ref="A9:C9"/>
    <mergeCell ref="D9:D10"/>
    <mergeCell ref="Q9:Q10"/>
    <mergeCell ref="E12:Q12"/>
    <mergeCell ref="D13:D14"/>
    <mergeCell ref="C13:C14"/>
    <mergeCell ref="E13:I14"/>
    <mergeCell ref="A71:A73"/>
    <mergeCell ref="A74:A81"/>
    <mergeCell ref="A25:A30"/>
    <mergeCell ref="A31:A39"/>
    <mergeCell ref="A40:A45"/>
    <mergeCell ref="A46:A48"/>
    <mergeCell ref="A51:A53"/>
    <mergeCell ref="A54:A56"/>
    <mergeCell ref="A15:A18"/>
    <mergeCell ref="A19:A24"/>
    <mergeCell ref="A57:A59"/>
    <mergeCell ref="A60:A64"/>
    <mergeCell ref="B74:B81"/>
    <mergeCell ref="A126:A132"/>
    <mergeCell ref="B15:B18"/>
    <mergeCell ref="B19:B24"/>
    <mergeCell ref="B25:B30"/>
    <mergeCell ref="B31:B39"/>
    <mergeCell ref="B40:B45"/>
    <mergeCell ref="B46:B48"/>
    <mergeCell ref="B51:B53"/>
    <mergeCell ref="B54:B56"/>
    <mergeCell ref="A102:A105"/>
    <mergeCell ref="A108:A110"/>
    <mergeCell ref="A111:A113"/>
    <mergeCell ref="A114:A116"/>
    <mergeCell ref="A119:A122"/>
    <mergeCell ref="A124:A125"/>
    <mergeCell ref="A82:A84"/>
    <mergeCell ref="A85:A87"/>
    <mergeCell ref="A88:A92"/>
    <mergeCell ref="A93:A95"/>
    <mergeCell ref="A96:A98"/>
    <mergeCell ref="A99:A101"/>
    <mergeCell ref="A65:A67"/>
    <mergeCell ref="A68:A70"/>
    <mergeCell ref="B114:B116"/>
    <mergeCell ref="B142:B144"/>
    <mergeCell ref="B145:B147"/>
    <mergeCell ref="B82:B84"/>
    <mergeCell ref="B85:B87"/>
    <mergeCell ref="B88:B92"/>
    <mergeCell ref="B93:B95"/>
    <mergeCell ref="B96:B98"/>
    <mergeCell ref="B99:B101"/>
    <mergeCell ref="B119:B122"/>
    <mergeCell ref="B102:B105"/>
    <mergeCell ref="B108:B110"/>
    <mergeCell ref="B111:B113"/>
    <mergeCell ref="C114:C116"/>
    <mergeCell ref="C119:C122"/>
    <mergeCell ref="C126:C132"/>
    <mergeCell ref="C142:C144"/>
    <mergeCell ref="C124:C125"/>
    <mergeCell ref="C51:C53"/>
    <mergeCell ref="C54:C56"/>
    <mergeCell ref="C57:C59"/>
    <mergeCell ref="C60:C64"/>
    <mergeCell ref="C65:C67"/>
    <mergeCell ref="C68:C70"/>
    <mergeCell ref="C82:C84"/>
    <mergeCell ref="C108:C110"/>
    <mergeCell ref="C111:C113"/>
    <mergeCell ref="C135:C137"/>
    <mergeCell ref="D114:D116"/>
    <mergeCell ref="D119:D122"/>
    <mergeCell ref="D124:D125"/>
    <mergeCell ref="D126:D132"/>
    <mergeCell ref="D85:D87"/>
    <mergeCell ref="D88:D92"/>
    <mergeCell ref="D93:D95"/>
    <mergeCell ref="D96:D98"/>
    <mergeCell ref="D99:D101"/>
    <mergeCell ref="D102:D105"/>
    <mergeCell ref="D108:D110"/>
    <mergeCell ref="D111:D113"/>
    <mergeCell ref="B65:B67"/>
    <mergeCell ref="B68:B70"/>
    <mergeCell ref="E54:I54"/>
    <mergeCell ref="E57:I57"/>
    <mergeCell ref="E60:I62"/>
    <mergeCell ref="E65:I65"/>
    <mergeCell ref="E68:I68"/>
    <mergeCell ref="E71:I71"/>
    <mergeCell ref="E25:I28"/>
    <mergeCell ref="E31:I36"/>
    <mergeCell ref="E40:I41"/>
    <mergeCell ref="E46:I46"/>
    <mergeCell ref="E50:I50"/>
    <mergeCell ref="E51:I51"/>
    <mergeCell ref="B71:B73"/>
    <mergeCell ref="D51:D53"/>
    <mergeCell ref="D54:D56"/>
    <mergeCell ref="D57:D59"/>
    <mergeCell ref="D60:D64"/>
    <mergeCell ref="B57:B59"/>
    <mergeCell ref="B60:B64"/>
    <mergeCell ref="C25:C30"/>
    <mergeCell ref="C46:C48"/>
    <mergeCell ref="D46:D48"/>
    <mergeCell ref="E107:I107"/>
    <mergeCell ref="E108:I108"/>
    <mergeCell ref="E111:I111"/>
    <mergeCell ref="E114:I114"/>
    <mergeCell ref="E118:I118"/>
    <mergeCell ref="E119:I120"/>
    <mergeCell ref="E85:I85"/>
    <mergeCell ref="E88:I90"/>
    <mergeCell ref="E93:I93"/>
    <mergeCell ref="E96:I96"/>
    <mergeCell ref="E99:I99"/>
    <mergeCell ref="E102:I103"/>
    <mergeCell ref="Q124:Q125"/>
    <mergeCell ref="Q126:Q130"/>
    <mergeCell ref="E140:Q140"/>
    <mergeCell ref="E141:I141"/>
    <mergeCell ref="E142:I142"/>
    <mergeCell ref="E145:I145"/>
    <mergeCell ref="E148:I149"/>
    <mergeCell ref="A163:D163"/>
    <mergeCell ref="D142:D144"/>
    <mergeCell ref="D145:D147"/>
    <mergeCell ref="D148:D151"/>
    <mergeCell ref="A162:I162"/>
    <mergeCell ref="A159:K159"/>
    <mergeCell ref="B152:B155"/>
    <mergeCell ref="C152:C155"/>
    <mergeCell ref="D152:D155"/>
    <mergeCell ref="E152:I153"/>
    <mergeCell ref="J152:J153"/>
    <mergeCell ref="A142:A144"/>
    <mergeCell ref="A145:A147"/>
    <mergeCell ref="A148:A151"/>
    <mergeCell ref="A152:A155"/>
    <mergeCell ref="D135:D137"/>
    <mergeCell ref="E135:I135"/>
  </mergeCells>
  <pageMargins left="0.23622047244094491" right="0.23622047244094491" top="0.74803149606299213" bottom="0.74803149606299213" header="0.31496062992125984" footer="0.31496062992125984"/>
  <pageSetup paperSize="8" scale="91" fitToHeight="0" orientation="landscape" r:id="rId1"/>
  <rowBreaks count="5" manualBreakCount="5">
    <brk id="39" max="17" man="1"/>
    <brk id="67" max="17" man="1"/>
    <brk id="98" max="17" man="1"/>
    <brk id="140" max="17" man="1"/>
    <brk id="172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zoomScaleNormal="100" workbookViewId="0">
      <pane ySplit="11" topLeftCell="A12" activePane="bottomLeft" state="frozen"/>
      <selection pane="bottomLeft" activeCell="L46" sqref="L46"/>
    </sheetView>
  </sheetViews>
  <sheetFormatPr defaultColWidth="9.140625" defaultRowHeight="12.75" x14ac:dyDescent="0.2"/>
  <cols>
    <col min="1" max="2" width="5" style="97" customWidth="1"/>
    <col min="3" max="4" width="5" style="1" customWidth="1"/>
    <col min="5" max="5" width="17.7109375" style="1" customWidth="1"/>
    <col min="6" max="6" width="13" style="1" customWidth="1"/>
    <col min="7" max="7" width="13" style="3" customWidth="1"/>
    <col min="8" max="9" width="13" style="1" customWidth="1"/>
    <col min="10" max="11" width="24.7109375" style="1" customWidth="1"/>
    <col min="12" max="12" width="49.7109375" style="1" customWidth="1"/>
    <col min="13" max="16" width="6.28515625" style="1" customWidth="1"/>
    <col min="17" max="17" width="32.7109375" style="1" customWidth="1"/>
    <col min="18" max="18" width="11.7109375" style="98" hidden="1" customWidth="1"/>
    <col min="19" max="19" width="7.85546875" style="1" hidden="1" customWidth="1"/>
    <col min="20" max="16384" width="9.140625" style="1"/>
  </cols>
  <sheetData>
    <row r="1" spans="1:18" x14ac:dyDescent="0.2">
      <c r="J1" s="180"/>
      <c r="L1" s="179"/>
      <c r="Q1" s="1" t="str">
        <f>'001'!Q1</f>
        <v>PATVIRTINTA</v>
      </c>
    </row>
    <row r="2" spans="1:18" x14ac:dyDescent="0.2">
      <c r="J2" s="180"/>
      <c r="L2" s="179"/>
      <c r="Q2" s="1" t="str">
        <f>'001'!Q2</f>
        <v>Plungės rajono savivaldybės tarybos</v>
      </c>
    </row>
    <row r="3" spans="1:18" x14ac:dyDescent="0.2">
      <c r="J3" s="180"/>
      <c r="L3" s="179"/>
      <c r="Q3" s="1" t="str">
        <f>'001'!Q3</f>
        <v>2025 m. vasario 13 d. sprendimu Nr.T1-</v>
      </c>
    </row>
    <row r="4" spans="1:18" x14ac:dyDescent="0.2">
      <c r="J4" s="180"/>
      <c r="L4" s="179"/>
      <c r="Q4" s="1" t="str">
        <f>'001'!Q4</f>
        <v xml:space="preserve">Plungės rajono savivaldybės </v>
      </c>
    </row>
    <row r="5" spans="1:18" x14ac:dyDescent="0.2">
      <c r="H5" s="6" t="s">
        <v>867</v>
      </c>
      <c r="J5" s="6"/>
      <c r="L5" s="178"/>
      <c r="Q5" s="1" t="str">
        <f>'001'!Q5</f>
        <v>2025–2027 metų  strateginio veiklos plano</v>
      </c>
    </row>
    <row r="6" spans="1:18" x14ac:dyDescent="0.2">
      <c r="H6" s="6" t="s">
        <v>866</v>
      </c>
      <c r="J6" s="6"/>
      <c r="L6" s="178"/>
      <c r="Q6" s="1" t="s">
        <v>868</v>
      </c>
    </row>
    <row r="7" spans="1:18" x14ac:dyDescent="0.2">
      <c r="H7" s="177"/>
      <c r="I7" s="177"/>
      <c r="J7" s="177"/>
    </row>
    <row r="8" spans="1:18" x14ac:dyDescent="0.2">
      <c r="A8" s="623" t="s">
        <v>869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181" t="s">
        <v>284</v>
      </c>
      <c r="R8" s="100"/>
    </row>
    <row r="9" spans="1:18" ht="26.25" customHeight="1" x14ac:dyDescent="0.2">
      <c r="A9" s="448" t="str">
        <f>'001'!A9:R11</f>
        <v>Kodas</v>
      </c>
      <c r="B9" s="448"/>
      <c r="C9" s="448"/>
      <c r="D9" s="473" t="str">
        <f>'001'!D9:D10</f>
        <v>Uždavinio/ priemonės požymis *</v>
      </c>
      <c r="E9" s="448" t="str">
        <f>'001'!E9:E10</f>
        <v>Programos tikslo/uždavinio/priemonės pavadinimas ir finansavimo šaltiniai</v>
      </c>
      <c r="F9" s="448" t="str">
        <f>'001'!F9:F10</f>
        <v>2024-ųjų m. asignavimai ir kitos lėšos (2024-12-31 datai)</v>
      </c>
      <c r="G9" s="472" t="str">
        <f>'001'!G9:G10</f>
        <v>2025-ųjų m. asignavimai ir kitos lėšos</v>
      </c>
      <c r="H9" s="448" t="str">
        <f>'001'!H9:H10</f>
        <v>Planuojami   2026-ųjų m. asignavimai ir kitos lėšos</v>
      </c>
      <c r="I9" s="448" t="str">
        <f>'001'!I9:I10</f>
        <v>Planuojami  2027-ųjų m. asignavimai ir kitos lėšos</v>
      </c>
      <c r="J9" s="448" t="str">
        <f>'001'!J9:J10</f>
        <v>Savivaldybės strateginio plėtros plano tikslo/uždavinio kodas**</v>
      </c>
      <c r="K9" s="448" t="str">
        <f>'001'!K9:K10</f>
        <v>Stebėsenos rodiklio kodas</v>
      </c>
      <c r="L9" s="447" t="str">
        <f>'001'!L9:M9</f>
        <v>Stebėsenos rodiklio</v>
      </c>
      <c r="M9" s="447"/>
      <c r="N9" s="447" t="str">
        <f>'001'!N9:P9</f>
        <v>Siektinos stebėsenos rodiklių reikšmės</v>
      </c>
      <c r="O9" s="447"/>
      <c r="P9" s="447"/>
      <c r="Q9" s="447" t="str">
        <f>'001'!Q9:Q10</f>
        <v>Savivaldybės strateginio plėtros plano rodiklio kodas**</v>
      </c>
      <c r="R9" s="471" t="str">
        <f>'001'!R9:R10</f>
        <v>Asignavimų skirtumas (2024 m.- 2025 m.)</v>
      </c>
    </row>
    <row r="10" spans="1:18" ht="83.25" customHeight="1" x14ac:dyDescent="0.2">
      <c r="A10" s="71" t="str">
        <f>'001'!A10</f>
        <v>tikslo</v>
      </c>
      <c r="B10" s="71" t="str">
        <f>'001'!B10</f>
        <v>uždavinio</v>
      </c>
      <c r="C10" s="71" t="str">
        <f>'001'!C10</f>
        <v>priemonės</v>
      </c>
      <c r="D10" s="473"/>
      <c r="E10" s="448"/>
      <c r="F10" s="448"/>
      <c r="G10" s="472"/>
      <c r="H10" s="448"/>
      <c r="I10" s="448"/>
      <c r="J10" s="448"/>
      <c r="K10" s="448"/>
      <c r="L10" s="78" t="str">
        <f>'001'!L10</f>
        <v>pavadinimas</v>
      </c>
      <c r="M10" s="78" t="str">
        <f>'001'!M10</f>
        <v>mato vnt.</v>
      </c>
      <c r="N10" s="78">
        <f>'001'!N10</f>
        <v>2025</v>
      </c>
      <c r="O10" s="78">
        <f>'001'!O10</f>
        <v>2026</v>
      </c>
      <c r="P10" s="78">
        <f>'001'!P10</f>
        <v>2027</v>
      </c>
      <c r="Q10" s="447"/>
      <c r="R10" s="471"/>
    </row>
    <row r="11" spans="1:18" x14ac:dyDescent="0.2">
      <c r="A11" s="49">
        <f>'001'!A11</f>
        <v>1</v>
      </c>
      <c r="B11" s="49">
        <f>'001'!B11</f>
        <v>2</v>
      </c>
      <c r="C11" s="49">
        <f>'001'!C11</f>
        <v>3</v>
      </c>
      <c r="D11" s="49">
        <f>'001'!D11</f>
        <v>4</v>
      </c>
      <c r="E11" s="49">
        <f>'001'!E11</f>
        <v>5</v>
      </c>
      <c r="F11" s="49">
        <f>'001'!F11</f>
        <v>6</v>
      </c>
      <c r="G11" s="50">
        <f>'001'!G11</f>
        <v>7</v>
      </c>
      <c r="H11" s="49">
        <f>'001'!H11</f>
        <v>8</v>
      </c>
      <c r="I11" s="49">
        <f>'001'!I11</f>
        <v>9</v>
      </c>
      <c r="J11" s="49">
        <f>'001'!J11</f>
        <v>10</v>
      </c>
      <c r="K11" s="49">
        <f>'001'!K11</f>
        <v>11</v>
      </c>
      <c r="L11" s="49">
        <f>'001'!L11</f>
        <v>12</v>
      </c>
      <c r="M11" s="49">
        <f>'001'!M11</f>
        <v>13</v>
      </c>
      <c r="N11" s="49">
        <f>'001'!N11</f>
        <v>14</v>
      </c>
      <c r="O11" s="49">
        <f>'001'!O11</f>
        <v>15</v>
      </c>
      <c r="P11" s="49">
        <f>'001'!P11</f>
        <v>16</v>
      </c>
      <c r="Q11" s="49">
        <f>'001'!Q11</f>
        <v>17</v>
      </c>
      <c r="R11" s="49">
        <f>'001'!R11</f>
        <v>18</v>
      </c>
    </row>
    <row r="12" spans="1:18" s="193" customFormat="1" x14ac:dyDescent="0.2">
      <c r="A12" s="144" t="s">
        <v>0</v>
      </c>
      <c r="B12" s="101"/>
      <c r="C12" s="101"/>
      <c r="D12" s="101"/>
      <c r="E12" s="619" t="s">
        <v>865</v>
      </c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1"/>
      <c r="R12" s="236"/>
    </row>
    <row r="13" spans="1:18" s="193" customFormat="1" x14ac:dyDescent="0.2">
      <c r="A13" s="424" t="s">
        <v>0</v>
      </c>
      <c r="B13" s="437" t="s">
        <v>0</v>
      </c>
      <c r="C13" s="429"/>
      <c r="D13" s="429" t="s">
        <v>18</v>
      </c>
      <c r="E13" s="455" t="s">
        <v>944</v>
      </c>
      <c r="F13" s="456"/>
      <c r="G13" s="456"/>
      <c r="H13" s="456"/>
      <c r="I13" s="457"/>
      <c r="J13" s="429" t="s">
        <v>864</v>
      </c>
      <c r="K13" s="102" t="s">
        <v>863</v>
      </c>
      <c r="L13" s="102" t="s">
        <v>862</v>
      </c>
      <c r="M13" s="102" t="s">
        <v>11</v>
      </c>
      <c r="N13" s="249">
        <v>10</v>
      </c>
      <c r="O13" s="249">
        <v>12</v>
      </c>
      <c r="P13" s="249">
        <v>15</v>
      </c>
      <c r="Q13" s="624" t="s">
        <v>870</v>
      </c>
      <c r="R13" s="236"/>
    </row>
    <row r="14" spans="1:18" s="193" customFormat="1" ht="25.5" x14ac:dyDescent="0.2">
      <c r="A14" s="424"/>
      <c r="B14" s="437"/>
      <c r="C14" s="429"/>
      <c r="D14" s="429"/>
      <c r="E14" s="458"/>
      <c r="F14" s="459"/>
      <c r="G14" s="459"/>
      <c r="H14" s="459"/>
      <c r="I14" s="460"/>
      <c r="J14" s="429"/>
      <c r="K14" s="102" t="s">
        <v>861</v>
      </c>
      <c r="L14" s="102" t="s">
        <v>860</v>
      </c>
      <c r="M14" s="102" t="s">
        <v>11</v>
      </c>
      <c r="N14" s="249">
        <v>100</v>
      </c>
      <c r="O14" s="249">
        <v>100</v>
      </c>
      <c r="P14" s="249">
        <v>100</v>
      </c>
      <c r="Q14" s="625"/>
      <c r="R14" s="236"/>
    </row>
    <row r="15" spans="1:18" s="193" customFormat="1" x14ac:dyDescent="0.2">
      <c r="A15" s="424"/>
      <c r="B15" s="437"/>
      <c r="C15" s="429"/>
      <c r="D15" s="429"/>
      <c r="E15" s="458"/>
      <c r="F15" s="459"/>
      <c r="G15" s="459"/>
      <c r="H15" s="459"/>
      <c r="I15" s="460"/>
      <c r="J15" s="429"/>
      <c r="K15" s="102" t="s">
        <v>859</v>
      </c>
      <c r="L15" s="102" t="s">
        <v>858</v>
      </c>
      <c r="M15" s="102" t="s">
        <v>11</v>
      </c>
      <c r="N15" s="249">
        <v>9.6</v>
      </c>
      <c r="O15" s="249">
        <v>9.65</v>
      </c>
      <c r="P15" s="249">
        <v>9.6999999999999993</v>
      </c>
      <c r="Q15" s="625"/>
      <c r="R15" s="236"/>
    </row>
    <row r="16" spans="1:18" s="193" customFormat="1" ht="25.5" x14ac:dyDescent="0.2">
      <c r="A16" s="424"/>
      <c r="B16" s="437"/>
      <c r="C16" s="429"/>
      <c r="D16" s="429"/>
      <c r="E16" s="461"/>
      <c r="F16" s="462"/>
      <c r="G16" s="462"/>
      <c r="H16" s="462"/>
      <c r="I16" s="463"/>
      <c r="J16" s="429"/>
      <c r="K16" s="102" t="s">
        <v>857</v>
      </c>
      <c r="L16" s="102" t="s">
        <v>856</v>
      </c>
      <c r="M16" s="102" t="s">
        <v>12</v>
      </c>
      <c r="N16" s="249">
        <v>2</v>
      </c>
      <c r="O16" s="249">
        <v>3</v>
      </c>
      <c r="P16" s="249">
        <v>3</v>
      </c>
      <c r="Q16" s="626"/>
      <c r="R16" s="236"/>
    </row>
    <row r="17" spans="1:19" s="193" customFormat="1" ht="13.5" x14ac:dyDescent="0.2">
      <c r="A17" s="424" t="s">
        <v>0</v>
      </c>
      <c r="B17" s="426" t="s">
        <v>0</v>
      </c>
      <c r="C17" s="622" t="s">
        <v>0</v>
      </c>
      <c r="D17" s="622" t="s">
        <v>21</v>
      </c>
      <c r="E17" s="612" t="s">
        <v>855</v>
      </c>
      <c r="F17" s="613"/>
      <c r="G17" s="613"/>
      <c r="H17" s="613"/>
      <c r="I17" s="614"/>
      <c r="J17" s="145" t="s">
        <v>19</v>
      </c>
      <c r="K17" s="103" t="s">
        <v>854</v>
      </c>
      <c r="L17" s="103" t="s">
        <v>853</v>
      </c>
      <c r="M17" s="104" t="s">
        <v>12</v>
      </c>
      <c r="N17" s="191">
        <v>5</v>
      </c>
      <c r="O17" s="191">
        <v>7</v>
      </c>
      <c r="P17" s="191">
        <v>10</v>
      </c>
      <c r="Q17" s="191" t="s">
        <v>19</v>
      </c>
      <c r="R17" s="236"/>
    </row>
    <row r="18" spans="1:19" s="193" customFormat="1" x14ac:dyDescent="0.2">
      <c r="A18" s="424"/>
      <c r="B18" s="426"/>
      <c r="C18" s="622"/>
      <c r="D18" s="622"/>
      <c r="E18" s="151" t="s">
        <v>14</v>
      </c>
      <c r="F18" s="107">
        <v>294.2</v>
      </c>
      <c r="G18" s="106">
        <v>960</v>
      </c>
      <c r="H18" s="106">
        <f>ROUND(G18*Lapas1!$B$1, 1)</f>
        <v>1036.8</v>
      </c>
      <c r="I18" s="106">
        <f>ROUND(H18*Lapas1!$B$1, 1)</f>
        <v>1119.7</v>
      </c>
      <c r="J18" s="189"/>
      <c r="K18" s="131"/>
      <c r="L18" s="132"/>
      <c r="M18" s="132"/>
      <c r="N18" s="185"/>
      <c r="O18" s="185"/>
      <c r="P18" s="250"/>
      <c r="Q18" s="250"/>
      <c r="R18" s="236"/>
    </row>
    <row r="19" spans="1:19" s="193" customFormat="1" x14ac:dyDescent="0.2">
      <c r="A19" s="424"/>
      <c r="B19" s="426"/>
      <c r="C19" s="622"/>
      <c r="D19" s="622"/>
      <c r="E19" s="117" t="s">
        <v>22</v>
      </c>
      <c r="F19" s="112">
        <f>SUM(F18)</f>
        <v>294.2</v>
      </c>
      <c r="G19" s="174">
        <f>SUM(G18)</f>
        <v>960</v>
      </c>
      <c r="H19" s="112">
        <f>SUM(H18)</f>
        <v>1036.8</v>
      </c>
      <c r="I19" s="112">
        <f>SUM(I18)</f>
        <v>1119.7</v>
      </c>
      <c r="J19" s="189"/>
      <c r="K19" s="131"/>
      <c r="L19" s="132"/>
      <c r="M19" s="132"/>
      <c r="N19" s="185"/>
      <c r="O19" s="185"/>
      <c r="P19" s="250"/>
      <c r="Q19" s="250"/>
      <c r="R19" s="43">
        <f>(G19-F19)/F19</f>
        <v>2.2630863358259687</v>
      </c>
    </row>
    <row r="20" spans="1:19" s="193" customFormat="1" ht="13.5" x14ac:dyDescent="0.2">
      <c r="A20" s="424" t="s">
        <v>0</v>
      </c>
      <c r="B20" s="426" t="s">
        <v>0</v>
      </c>
      <c r="C20" s="615" t="s">
        <v>10</v>
      </c>
      <c r="D20" s="615" t="s">
        <v>78</v>
      </c>
      <c r="E20" s="616" t="s">
        <v>852</v>
      </c>
      <c r="F20" s="617"/>
      <c r="G20" s="617"/>
      <c r="H20" s="617"/>
      <c r="I20" s="618"/>
      <c r="J20" s="151" t="s">
        <v>851</v>
      </c>
      <c r="K20" s="103" t="s">
        <v>850</v>
      </c>
      <c r="L20" s="103" t="s">
        <v>849</v>
      </c>
      <c r="M20" s="104" t="s">
        <v>12</v>
      </c>
      <c r="N20" s="191">
        <v>1</v>
      </c>
      <c r="O20" s="191">
        <v>2</v>
      </c>
      <c r="P20" s="191">
        <v>3</v>
      </c>
      <c r="Q20" s="191" t="s">
        <v>871</v>
      </c>
      <c r="R20" s="236"/>
    </row>
    <row r="21" spans="1:19" s="193" customFormat="1" x14ac:dyDescent="0.2">
      <c r="A21" s="424"/>
      <c r="B21" s="426"/>
      <c r="C21" s="615"/>
      <c r="D21" s="615"/>
      <c r="E21" s="151" t="s">
        <v>14</v>
      </c>
      <c r="F21" s="107">
        <v>656.7</v>
      </c>
      <c r="G21" s="106">
        <v>588</v>
      </c>
      <c r="H21" s="106">
        <f>ROUND(G21*Lapas1!$B$1, 1)</f>
        <v>635</v>
      </c>
      <c r="I21" s="106">
        <f>ROUND(H21*Lapas1!$B$1, 1)</f>
        <v>685.8</v>
      </c>
      <c r="J21" s="189"/>
      <c r="K21" s="131"/>
      <c r="L21" s="132"/>
      <c r="M21" s="132"/>
      <c r="N21" s="185"/>
      <c r="O21" s="185"/>
      <c r="P21" s="250"/>
      <c r="Q21" s="250"/>
      <c r="R21" s="236"/>
    </row>
    <row r="22" spans="1:19" s="193" customFormat="1" x14ac:dyDescent="0.2">
      <c r="A22" s="424"/>
      <c r="B22" s="426"/>
      <c r="C22" s="615"/>
      <c r="D22" s="615"/>
      <c r="E22" s="117" t="s">
        <v>22</v>
      </c>
      <c r="F22" s="112">
        <f>SUM(F21)</f>
        <v>656.7</v>
      </c>
      <c r="G22" s="174">
        <f>SUM(G21)</f>
        <v>588</v>
      </c>
      <c r="H22" s="112">
        <f>SUM(H21)</f>
        <v>635</v>
      </c>
      <c r="I22" s="112">
        <f>SUM(I21)</f>
        <v>685.8</v>
      </c>
      <c r="J22" s="189"/>
      <c r="K22" s="131"/>
      <c r="L22" s="132"/>
      <c r="M22" s="132"/>
      <c r="N22" s="185"/>
      <c r="O22" s="185"/>
      <c r="P22" s="250"/>
      <c r="Q22" s="250"/>
      <c r="R22" s="43">
        <f>(G22-F22)/F22</f>
        <v>-0.10461397898583834</v>
      </c>
      <c r="S22" s="251">
        <f>((G22+G19)-(F22+F19))/(F22+F19)</f>
        <v>0.627931433378904</v>
      </c>
    </row>
    <row r="23" spans="1:19" s="193" customFormat="1" ht="31.5" customHeight="1" x14ac:dyDescent="0.2">
      <c r="A23" s="424" t="s">
        <v>0</v>
      </c>
      <c r="B23" s="426" t="s">
        <v>0</v>
      </c>
      <c r="C23" s="615" t="s">
        <v>24</v>
      </c>
      <c r="D23" s="615" t="s">
        <v>21</v>
      </c>
      <c r="E23" s="612" t="s">
        <v>848</v>
      </c>
      <c r="F23" s="613"/>
      <c r="G23" s="613"/>
      <c r="H23" s="613"/>
      <c r="I23" s="614"/>
      <c r="J23" s="151" t="s">
        <v>19</v>
      </c>
      <c r="K23" s="103" t="s">
        <v>847</v>
      </c>
      <c r="L23" s="190" t="s">
        <v>846</v>
      </c>
      <c r="M23" s="104" t="s">
        <v>734</v>
      </c>
      <c r="N23" s="252">
        <v>100</v>
      </c>
      <c r="O23" s="191">
        <v>110</v>
      </c>
      <c r="P23" s="191">
        <v>120</v>
      </c>
      <c r="Q23" s="191" t="s">
        <v>19</v>
      </c>
      <c r="R23" s="236"/>
    </row>
    <row r="24" spans="1:19" s="193" customFormat="1" x14ac:dyDescent="0.2">
      <c r="A24" s="424"/>
      <c r="B24" s="426"/>
      <c r="C24" s="615"/>
      <c r="D24" s="615"/>
      <c r="E24" s="151" t="s">
        <v>14</v>
      </c>
      <c r="F24" s="106">
        <v>140</v>
      </c>
      <c r="G24" s="106">
        <v>300</v>
      </c>
      <c r="H24" s="106">
        <f>ROUND(G24*Lapas1!$B$1, 1)</f>
        <v>324</v>
      </c>
      <c r="I24" s="106">
        <f>ROUND(H24*Lapas1!$B$1, 1)</f>
        <v>349.9</v>
      </c>
      <c r="J24" s="189"/>
      <c r="K24" s="131"/>
      <c r="L24" s="132"/>
      <c r="M24" s="132"/>
      <c r="N24" s="185"/>
      <c r="O24" s="185"/>
      <c r="P24" s="250"/>
      <c r="Q24" s="250"/>
      <c r="R24" s="236"/>
    </row>
    <row r="25" spans="1:19" s="193" customFormat="1" x14ac:dyDescent="0.2">
      <c r="A25" s="424"/>
      <c r="B25" s="426"/>
      <c r="C25" s="615"/>
      <c r="D25" s="615"/>
      <c r="E25" s="151" t="s">
        <v>15</v>
      </c>
      <c r="F25" s="106">
        <v>1209.0999999999999</v>
      </c>
      <c r="G25" s="106">
        <v>1200</v>
      </c>
      <c r="H25" s="106">
        <f>ROUND(G25*Lapas1!$B$2, 1)</f>
        <v>1296</v>
      </c>
      <c r="I25" s="106">
        <f>ROUND(H25*Lapas1!$B$2, 1)</f>
        <v>1399.7</v>
      </c>
      <c r="J25" s="189"/>
      <c r="K25" s="131"/>
      <c r="L25" s="132"/>
      <c r="M25" s="132"/>
      <c r="N25" s="185"/>
      <c r="O25" s="185"/>
      <c r="P25" s="250"/>
      <c r="Q25" s="250"/>
      <c r="R25" s="236"/>
    </row>
    <row r="26" spans="1:19" s="193" customFormat="1" x14ac:dyDescent="0.2">
      <c r="A26" s="424"/>
      <c r="B26" s="426"/>
      <c r="C26" s="615"/>
      <c r="D26" s="615"/>
      <c r="E26" s="117" t="s">
        <v>22</v>
      </c>
      <c r="F26" s="112">
        <f>SUM(F24:F25)</f>
        <v>1349.1</v>
      </c>
      <c r="G26" s="174">
        <f>SUM(G24:G25)</f>
        <v>1500</v>
      </c>
      <c r="H26" s="112">
        <f>SUM(H24:H25)</f>
        <v>1620</v>
      </c>
      <c r="I26" s="112">
        <f>SUM(I24:I25)</f>
        <v>1749.6</v>
      </c>
      <c r="J26" s="189"/>
      <c r="K26" s="131"/>
      <c r="L26" s="132"/>
      <c r="M26" s="132"/>
      <c r="N26" s="185"/>
      <c r="O26" s="185"/>
      <c r="P26" s="250"/>
      <c r="Q26" s="250"/>
      <c r="R26" s="43">
        <f>(G26-F26)/F26</f>
        <v>0.11185234600845015</v>
      </c>
    </row>
    <row r="27" spans="1:19" s="193" customFormat="1" ht="26.25" customHeight="1" x14ac:dyDescent="0.2">
      <c r="A27" s="424" t="s">
        <v>0</v>
      </c>
      <c r="B27" s="426" t="s">
        <v>0</v>
      </c>
      <c r="C27" s="615" t="s">
        <v>25</v>
      </c>
      <c r="D27" s="615" t="s">
        <v>78</v>
      </c>
      <c r="E27" s="612" t="s">
        <v>845</v>
      </c>
      <c r="F27" s="613"/>
      <c r="G27" s="613"/>
      <c r="H27" s="613"/>
      <c r="I27" s="614"/>
      <c r="J27" s="176" t="s">
        <v>844</v>
      </c>
      <c r="K27" s="103" t="s">
        <v>843</v>
      </c>
      <c r="L27" s="190" t="s">
        <v>842</v>
      </c>
      <c r="M27" s="104" t="s">
        <v>734</v>
      </c>
      <c r="N27" s="191">
        <v>2</v>
      </c>
      <c r="O27" s="191">
        <v>3</v>
      </c>
      <c r="P27" s="191">
        <v>4</v>
      </c>
      <c r="Q27" s="191" t="s">
        <v>872</v>
      </c>
      <c r="R27" s="236"/>
    </row>
    <row r="28" spans="1:19" s="193" customFormat="1" x14ac:dyDescent="0.2">
      <c r="A28" s="424"/>
      <c r="B28" s="426"/>
      <c r="C28" s="615"/>
      <c r="D28" s="615"/>
      <c r="E28" s="151" t="s">
        <v>14</v>
      </c>
      <c r="F28" s="106">
        <v>152.69999999999999</v>
      </c>
      <c r="G28" s="106">
        <v>48</v>
      </c>
      <c r="H28" s="106">
        <f>ROUND(G28*Lapas1!$B$1, 1)</f>
        <v>51.8</v>
      </c>
      <c r="I28" s="106">
        <f>ROUND(H28*Lapas1!$B$1, 1)</f>
        <v>55.9</v>
      </c>
      <c r="J28" s="189"/>
      <c r="K28" s="131"/>
      <c r="L28" s="132"/>
      <c r="M28" s="132"/>
      <c r="N28" s="185"/>
      <c r="O28" s="185"/>
      <c r="P28" s="250"/>
      <c r="Q28" s="250"/>
      <c r="R28" s="236"/>
    </row>
    <row r="29" spans="1:19" s="193" customFormat="1" x14ac:dyDescent="0.2">
      <c r="A29" s="424"/>
      <c r="B29" s="426"/>
      <c r="C29" s="615"/>
      <c r="D29" s="615"/>
      <c r="E29" s="151" t="s">
        <v>15</v>
      </c>
      <c r="F29" s="106">
        <v>1209.0999999999999</v>
      </c>
      <c r="G29" s="106">
        <v>1200</v>
      </c>
      <c r="H29" s="106">
        <f>ROUND(G29*Lapas1!$B$2, 1)</f>
        <v>1296</v>
      </c>
      <c r="I29" s="106">
        <f>ROUND(H29*Lapas1!$B$2, 1)</f>
        <v>1399.7</v>
      </c>
      <c r="J29" s="189"/>
      <c r="K29" s="131"/>
      <c r="L29" s="132"/>
      <c r="M29" s="132"/>
      <c r="N29" s="185"/>
      <c r="O29" s="185"/>
      <c r="P29" s="250"/>
      <c r="Q29" s="250"/>
      <c r="R29" s="236"/>
    </row>
    <row r="30" spans="1:19" s="193" customFormat="1" x14ac:dyDescent="0.2">
      <c r="A30" s="424"/>
      <c r="B30" s="426"/>
      <c r="C30" s="615"/>
      <c r="D30" s="615"/>
      <c r="E30" s="117" t="s">
        <v>22</v>
      </c>
      <c r="F30" s="112">
        <f>SUM(F28:F29)</f>
        <v>1361.8</v>
      </c>
      <c r="G30" s="174">
        <f>SUM(G28:G29)</f>
        <v>1248</v>
      </c>
      <c r="H30" s="112">
        <f>SUM(H28:H29)</f>
        <v>1347.8</v>
      </c>
      <c r="I30" s="112">
        <f>SUM(I28:I29)</f>
        <v>1455.6000000000001</v>
      </c>
      <c r="J30" s="189"/>
      <c r="K30" s="131"/>
      <c r="L30" s="132"/>
      <c r="M30" s="132"/>
      <c r="N30" s="185"/>
      <c r="O30" s="185"/>
      <c r="P30" s="250"/>
      <c r="Q30" s="250"/>
      <c r="R30" s="43">
        <f>(G30-F30)/F30</f>
        <v>-8.3565868703186927E-2</v>
      </c>
      <c r="S30" s="251">
        <f>((G30+G26)-(F30+F26))/(F30+F26)</f>
        <v>1.3685491903058161E-2</v>
      </c>
    </row>
    <row r="31" spans="1:19" s="193" customFormat="1" ht="25.5" x14ac:dyDescent="0.2">
      <c r="A31" s="424" t="s">
        <v>0</v>
      </c>
      <c r="B31" s="426" t="s">
        <v>0</v>
      </c>
      <c r="C31" s="615" t="s">
        <v>26</v>
      </c>
      <c r="D31" s="615" t="s">
        <v>21</v>
      </c>
      <c r="E31" s="612" t="s">
        <v>841</v>
      </c>
      <c r="F31" s="613"/>
      <c r="G31" s="613"/>
      <c r="H31" s="613"/>
      <c r="I31" s="614"/>
      <c r="J31" s="151" t="s">
        <v>19</v>
      </c>
      <c r="K31" s="103" t="s">
        <v>840</v>
      </c>
      <c r="L31" s="190" t="s">
        <v>933</v>
      </c>
      <c r="M31" s="104" t="s">
        <v>12</v>
      </c>
      <c r="N31" s="191">
        <v>1</v>
      </c>
      <c r="O31" s="191">
        <v>2</v>
      </c>
      <c r="P31" s="191">
        <v>2</v>
      </c>
      <c r="Q31" s="191" t="s">
        <v>19</v>
      </c>
      <c r="R31" s="236"/>
    </row>
    <row r="32" spans="1:19" s="193" customFormat="1" x14ac:dyDescent="0.2">
      <c r="A32" s="424"/>
      <c r="B32" s="426"/>
      <c r="C32" s="615"/>
      <c r="D32" s="615"/>
      <c r="E32" s="151" t="s">
        <v>14</v>
      </c>
      <c r="F32" s="107">
        <v>27.8</v>
      </c>
      <c r="G32" s="106">
        <v>50</v>
      </c>
      <c r="H32" s="106">
        <f>ROUND(G32*Lapas1!$B$1, 1)</f>
        <v>54</v>
      </c>
      <c r="I32" s="106">
        <f>ROUND(H32*Lapas1!$B$1, 1)</f>
        <v>58.3</v>
      </c>
      <c r="J32" s="189"/>
      <c r="K32" s="131"/>
      <c r="L32" s="132"/>
      <c r="M32" s="132"/>
      <c r="N32" s="185"/>
      <c r="O32" s="185"/>
      <c r="P32" s="250"/>
      <c r="Q32" s="250"/>
      <c r="R32" s="236"/>
    </row>
    <row r="33" spans="1:18" s="193" customFormat="1" x14ac:dyDescent="0.2">
      <c r="A33" s="424"/>
      <c r="B33" s="426"/>
      <c r="C33" s="615"/>
      <c r="D33" s="615"/>
      <c r="E33" s="117" t="s">
        <v>22</v>
      </c>
      <c r="F33" s="112">
        <f>SUM(F32:F32)</f>
        <v>27.8</v>
      </c>
      <c r="G33" s="174">
        <f>SUM(G32:G32)</f>
        <v>50</v>
      </c>
      <c r="H33" s="112">
        <f>SUM(H32:H32)</f>
        <v>54</v>
      </c>
      <c r="I33" s="112">
        <f>SUM(I32:I32)</f>
        <v>58.3</v>
      </c>
      <c r="J33" s="189"/>
      <c r="K33" s="131"/>
      <c r="L33" s="132"/>
      <c r="M33" s="132"/>
      <c r="N33" s="185"/>
      <c r="O33" s="185"/>
      <c r="P33" s="250"/>
      <c r="Q33" s="250"/>
      <c r="R33" s="43">
        <f>(G33-F33)/F33</f>
        <v>0.79856115107913661</v>
      </c>
    </row>
    <row r="34" spans="1:18" s="193" customFormat="1" ht="13.5" x14ac:dyDescent="0.2">
      <c r="A34" s="424" t="s">
        <v>0</v>
      </c>
      <c r="B34" s="426" t="s">
        <v>0</v>
      </c>
      <c r="C34" s="615" t="s">
        <v>27</v>
      </c>
      <c r="D34" s="615" t="s">
        <v>21</v>
      </c>
      <c r="E34" s="612" t="s">
        <v>839</v>
      </c>
      <c r="F34" s="613"/>
      <c r="G34" s="613"/>
      <c r="H34" s="613"/>
      <c r="I34" s="614"/>
      <c r="J34" s="151" t="s">
        <v>19</v>
      </c>
      <c r="K34" s="103" t="s">
        <v>838</v>
      </c>
      <c r="L34" s="103" t="s">
        <v>837</v>
      </c>
      <c r="M34" s="104" t="s">
        <v>12</v>
      </c>
      <c r="N34" s="191">
        <v>2</v>
      </c>
      <c r="O34" s="191">
        <v>2</v>
      </c>
      <c r="P34" s="191">
        <v>2</v>
      </c>
      <c r="Q34" s="191" t="s">
        <v>19</v>
      </c>
      <c r="R34" s="236"/>
    </row>
    <row r="35" spans="1:18" s="193" customFormat="1" x14ac:dyDescent="0.2">
      <c r="A35" s="424"/>
      <c r="B35" s="426"/>
      <c r="C35" s="615"/>
      <c r="D35" s="615"/>
      <c r="E35" s="151" t="s">
        <v>17</v>
      </c>
      <c r="F35" s="107">
        <v>217.9</v>
      </c>
      <c r="G35" s="106">
        <f>150+193.5</f>
        <v>343.5</v>
      </c>
      <c r="H35" s="106">
        <f>ROUND(G35*Lapas1!$B$3, 1)</f>
        <v>371</v>
      </c>
      <c r="I35" s="106">
        <f>ROUND(H35*Lapas1!$B$3, 1)</f>
        <v>400.7</v>
      </c>
      <c r="J35" s="189"/>
      <c r="K35" s="131"/>
      <c r="L35" s="132"/>
      <c r="M35" s="132"/>
      <c r="N35" s="185"/>
      <c r="O35" s="185"/>
      <c r="P35" s="250"/>
      <c r="Q35" s="250"/>
      <c r="R35" s="236"/>
    </row>
    <row r="36" spans="1:18" s="193" customFormat="1" x14ac:dyDescent="0.2">
      <c r="A36" s="424"/>
      <c r="B36" s="426"/>
      <c r="C36" s="615"/>
      <c r="D36" s="615"/>
      <c r="E36" s="117" t="s">
        <v>22</v>
      </c>
      <c r="F36" s="112">
        <f>SUM(F35:F35)</f>
        <v>217.9</v>
      </c>
      <c r="G36" s="174">
        <f>SUM(G35:G35)</f>
        <v>343.5</v>
      </c>
      <c r="H36" s="112">
        <f>SUM(H35:H35)</f>
        <v>371</v>
      </c>
      <c r="I36" s="112">
        <f>SUM(I35:I35)</f>
        <v>400.7</v>
      </c>
      <c r="J36" s="189"/>
      <c r="K36" s="131"/>
      <c r="L36" s="132"/>
      <c r="M36" s="132"/>
      <c r="N36" s="185"/>
      <c r="O36" s="185"/>
      <c r="P36" s="250"/>
      <c r="Q36" s="250"/>
      <c r="R36" s="43">
        <f>(G36-F36)/F36</f>
        <v>0.57641119779715466</v>
      </c>
    </row>
    <row r="37" spans="1:18" s="193" customFormat="1" ht="13.5" x14ac:dyDescent="0.2">
      <c r="A37" s="424" t="s">
        <v>0</v>
      </c>
      <c r="B37" s="426" t="s">
        <v>0</v>
      </c>
      <c r="C37" s="615" t="s">
        <v>28</v>
      </c>
      <c r="D37" s="615" t="s">
        <v>78</v>
      </c>
      <c r="E37" s="616" t="s">
        <v>836</v>
      </c>
      <c r="F37" s="617"/>
      <c r="G37" s="617"/>
      <c r="H37" s="617"/>
      <c r="I37" s="618"/>
      <c r="J37" s="151" t="s">
        <v>310</v>
      </c>
      <c r="K37" s="103" t="s">
        <v>835</v>
      </c>
      <c r="L37" s="104" t="s">
        <v>834</v>
      </c>
      <c r="M37" s="103" t="s">
        <v>12</v>
      </c>
      <c r="N37" s="191">
        <v>18</v>
      </c>
      <c r="O37" s="191">
        <v>19</v>
      </c>
      <c r="P37" s="191">
        <v>20</v>
      </c>
      <c r="Q37" s="191" t="s">
        <v>307</v>
      </c>
      <c r="R37" s="236"/>
    </row>
    <row r="38" spans="1:18" s="193" customFormat="1" x14ac:dyDescent="0.2">
      <c r="A38" s="424"/>
      <c r="B38" s="426"/>
      <c r="C38" s="615"/>
      <c r="D38" s="615"/>
      <c r="E38" s="151" t="s">
        <v>14</v>
      </c>
      <c r="F38" s="107">
        <v>110</v>
      </c>
      <c r="G38" s="106">
        <v>144</v>
      </c>
      <c r="H38" s="106">
        <f>ROUND(G38*Lapas1!$B$1, 1)</f>
        <v>155.5</v>
      </c>
      <c r="I38" s="106">
        <f>ROUND(H38*Lapas1!$B$1, 1)</f>
        <v>167.9</v>
      </c>
      <c r="J38" s="189"/>
      <c r="K38" s="131"/>
      <c r="L38" s="132"/>
      <c r="M38" s="132"/>
      <c r="N38" s="185"/>
      <c r="O38" s="185"/>
      <c r="P38" s="250"/>
      <c r="Q38" s="250"/>
      <c r="R38" s="236"/>
    </row>
    <row r="39" spans="1:18" s="193" customFormat="1" x14ac:dyDescent="0.2">
      <c r="A39" s="424"/>
      <c r="B39" s="426"/>
      <c r="C39" s="615"/>
      <c r="D39" s="615"/>
      <c r="E39" s="117" t="s">
        <v>22</v>
      </c>
      <c r="F39" s="112">
        <f>SUM(F38:F38)</f>
        <v>110</v>
      </c>
      <c r="G39" s="174">
        <f>SUM(G38:G38)</f>
        <v>144</v>
      </c>
      <c r="H39" s="112">
        <f>SUM(H38:H38)</f>
        <v>155.5</v>
      </c>
      <c r="I39" s="112">
        <f>SUM(I38:I38)</f>
        <v>167.9</v>
      </c>
      <c r="J39" s="189"/>
      <c r="K39" s="108"/>
      <c r="L39" s="109"/>
      <c r="M39" s="109"/>
      <c r="N39" s="185"/>
      <c r="O39" s="185"/>
      <c r="P39" s="250"/>
      <c r="Q39" s="250"/>
      <c r="R39" s="43">
        <f>(G39-F39)/F39</f>
        <v>0.30909090909090908</v>
      </c>
    </row>
    <row r="40" spans="1:18" s="193" customFormat="1" x14ac:dyDescent="0.2">
      <c r="A40" s="144" t="s">
        <v>0</v>
      </c>
      <c r="B40" s="150" t="s">
        <v>0</v>
      </c>
      <c r="C40" s="249"/>
      <c r="D40" s="249" t="s">
        <v>18</v>
      </c>
      <c r="E40" s="119" t="s">
        <v>2</v>
      </c>
      <c r="F40" s="120">
        <f>F19+F22+F26+F30+F33+F36+F39</f>
        <v>4017.5000000000005</v>
      </c>
      <c r="G40" s="186">
        <f>G19+G22+G26+G30+G33+G36+G39</f>
        <v>4833.5</v>
      </c>
      <c r="H40" s="120">
        <f>H19+H22+H26+H30+H33+H36+H39</f>
        <v>5220.1000000000004</v>
      </c>
      <c r="I40" s="120">
        <f>I19+I22+I26+I30+I33+I36+I39</f>
        <v>5637.5999999999995</v>
      </c>
      <c r="J40" s="121"/>
      <c r="K40" s="227"/>
      <c r="L40" s="227"/>
      <c r="M40" s="227"/>
      <c r="N40" s="227"/>
      <c r="O40" s="227"/>
      <c r="P40" s="227"/>
      <c r="Q40" s="227"/>
      <c r="R40" s="236"/>
    </row>
    <row r="41" spans="1:18" s="193" customFormat="1" x14ac:dyDescent="0.2">
      <c r="A41" s="229" t="s">
        <v>0</v>
      </c>
      <c r="B41" s="125"/>
      <c r="C41" s="125"/>
      <c r="D41" s="125"/>
      <c r="E41" s="123" t="s">
        <v>276</v>
      </c>
      <c r="F41" s="124">
        <f t="shared" ref="F41:I42" si="0">F40</f>
        <v>4017.5000000000005</v>
      </c>
      <c r="G41" s="187">
        <f t="shared" si="0"/>
        <v>4833.5</v>
      </c>
      <c r="H41" s="124">
        <f t="shared" si="0"/>
        <v>5220.1000000000004</v>
      </c>
      <c r="I41" s="124">
        <f t="shared" si="0"/>
        <v>5637.5999999999995</v>
      </c>
      <c r="J41" s="125"/>
      <c r="K41" s="230"/>
      <c r="L41" s="230"/>
      <c r="M41" s="230"/>
      <c r="N41" s="230"/>
      <c r="O41" s="230"/>
      <c r="P41" s="230"/>
      <c r="Q41" s="230"/>
      <c r="R41" s="236"/>
    </row>
    <row r="42" spans="1:18" s="193" customFormat="1" x14ac:dyDescent="0.2">
      <c r="A42" s="182"/>
      <c r="B42" s="182"/>
      <c r="C42" s="182"/>
      <c r="D42" s="182"/>
      <c r="E42" s="134" t="s">
        <v>277</v>
      </c>
      <c r="F42" s="135">
        <f t="shared" si="0"/>
        <v>4017.5000000000005</v>
      </c>
      <c r="G42" s="188">
        <f t="shared" si="0"/>
        <v>4833.5</v>
      </c>
      <c r="H42" s="135">
        <f t="shared" si="0"/>
        <v>5220.1000000000004</v>
      </c>
      <c r="I42" s="135">
        <f t="shared" si="0"/>
        <v>5637.5999999999995</v>
      </c>
      <c r="J42" s="136"/>
      <c r="K42" s="183"/>
      <c r="L42" s="183"/>
      <c r="M42" s="183"/>
      <c r="N42" s="183"/>
      <c r="O42" s="183"/>
      <c r="P42" s="183"/>
      <c r="Q42" s="183"/>
      <c r="R42" s="236"/>
    </row>
    <row r="43" spans="1:18" ht="45.75" customHeight="1" x14ac:dyDescent="0.2">
      <c r="A43" s="498" t="s">
        <v>876</v>
      </c>
      <c r="B43" s="498"/>
      <c r="C43" s="498"/>
      <c r="D43" s="498"/>
      <c r="E43" s="498"/>
      <c r="F43" s="498"/>
      <c r="G43" s="498"/>
      <c r="H43" s="498"/>
      <c r="I43" s="498"/>
      <c r="J43" s="498"/>
      <c r="K43" s="498"/>
    </row>
    <row r="44" spans="1:18" ht="27.75" customHeight="1" x14ac:dyDescent="0.2">
      <c r="A44" s="444" t="s">
        <v>881</v>
      </c>
      <c r="B44" s="444"/>
      <c r="C44" s="444"/>
      <c r="D44" s="444"/>
      <c r="E44" s="444"/>
      <c r="F44" s="444"/>
      <c r="G44" s="444"/>
      <c r="H44" s="444"/>
      <c r="I44" s="444"/>
      <c r="J44" s="444"/>
      <c r="K44" s="444"/>
    </row>
    <row r="45" spans="1:18" x14ac:dyDescent="0.2">
      <c r="A45" s="137"/>
    </row>
    <row r="46" spans="1:18" ht="24.75" customHeight="1" x14ac:dyDescent="0.2">
      <c r="A46" s="428" t="s">
        <v>4</v>
      </c>
      <c r="B46" s="428"/>
      <c r="C46" s="428"/>
      <c r="D46" s="428"/>
      <c r="E46" s="428"/>
      <c r="F46" s="428"/>
      <c r="G46" s="428"/>
      <c r="H46" s="428"/>
      <c r="I46" s="428"/>
    </row>
    <row r="47" spans="1:18" ht="24.75" customHeight="1" x14ac:dyDescent="0.2">
      <c r="A47" s="427" t="s">
        <v>13</v>
      </c>
      <c r="B47" s="427"/>
      <c r="C47" s="427"/>
      <c r="D47" s="427"/>
      <c r="E47" s="7" t="s">
        <v>14</v>
      </c>
      <c r="F47" s="112">
        <f>F18+F21+F24+F28+F32+F38</f>
        <v>1381.4</v>
      </c>
      <c r="G47" s="174">
        <f>G18+G21+G24+G28+G32+G38</f>
        <v>2090</v>
      </c>
      <c r="H47" s="112">
        <f>H18+H21+H24+H28+H32+H38</f>
        <v>2257.1</v>
      </c>
      <c r="I47" s="112">
        <f>I18+I21+I24+I28+I32+I38</f>
        <v>2437.5000000000005</v>
      </c>
    </row>
    <row r="48" spans="1:18" ht="24.75" customHeight="1" x14ac:dyDescent="0.2">
      <c r="A48" s="427" t="s">
        <v>20</v>
      </c>
      <c r="B48" s="427"/>
      <c r="C48" s="427"/>
      <c r="D48" s="427"/>
      <c r="E48" s="7" t="s">
        <v>15</v>
      </c>
      <c r="F48" s="112">
        <f>F25+F29</f>
        <v>2418.1999999999998</v>
      </c>
      <c r="G48" s="174">
        <f>G25+G29</f>
        <v>2400</v>
      </c>
      <c r="H48" s="112">
        <f>H25+H29</f>
        <v>2592</v>
      </c>
      <c r="I48" s="112">
        <f>I25+I29</f>
        <v>2799.4</v>
      </c>
    </row>
    <row r="49" spans="1:9" ht="50.25" customHeight="1" x14ac:dyDescent="0.2">
      <c r="A49" s="427" t="s">
        <v>16</v>
      </c>
      <c r="B49" s="427"/>
      <c r="C49" s="427"/>
      <c r="D49" s="427"/>
      <c r="E49" s="7" t="s">
        <v>17</v>
      </c>
      <c r="F49" s="112">
        <f>F35</f>
        <v>217.9</v>
      </c>
      <c r="G49" s="174">
        <f>G35</f>
        <v>343.5</v>
      </c>
      <c r="H49" s="112">
        <f>H35</f>
        <v>371</v>
      </c>
      <c r="I49" s="112">
        <f>I35</f>
        <v>400.7</v>
      </c>
    </row>
    <row r="50" spans="1:9" ht="24.75" customHeight="1" x14ac:dyDescent="0.2">
      <c r="A50" s="427" t="s">
        <v>268</v>
      </c>
      <c r="B50" s="427"/>
      <c r="C50" s="427"/>
      <c r="D50" s="427"/>
      <c r="E50" s="7" t="s">
        <v>269</v>
      </c>
      <c r="F50" s="112"/>
      <c r="G50" s="174"/>
      <c r="H50" s="112"/>
      <c r="I50" s="112"/>
    </row>
    <row r="51" spans="1:9" ht="24.75" customHeight="1" x14ac:dyDescent="0.2">
      <c r="A51" s="427" t="s">
        <v>267</v>
      </c>
      <c r="B51" s="427"/>
      <c r="C51" s="427"/>
      <c r="D51" s="427"/>
      <c r="E51" s="7" t="s">
        <v>18</v>
      </c>
      <c r="F51" s="111"/>
      <c r="G51" s="418"/>
      <c r="H51" s="175"/>
      <c r="I51" s="175"/>
    </row>
    <row r="52" spans="1:9" x14ac:dyDescent="0.2">
      <c r="A52" s="427" t="s">
        <v>179</v>
      </c>
      <c r="B52" s="427"/>
      <c r="C52" s="427"/>
      <c r="D52" s="427"/>
      <c r="E52" s="7" t="s">
        <v>170</v>
      </c>
      <c r="F52" s="111"/>
      <c r="G52" s="418"/>
      <c r="H52" s="175"/>
      <c r="I52" s="175"/>
    </row>
    <row r="53" spans="1:9" ht="23.25" customHeight="1" x14ac:dyDescent="0.2">
      <c r="A53" s="442" t="s">
        <v>3</v>
      </c>
      <c r="B53" s="442"/>
      <c r="C53" s="442"/>
      <c r="D53" s="442"/>
      <c r="E53" s="442"/>
      <c r="F53" s="138">
        <f>SUM(F47:F52)</f>
        <v>4017.5</v>
      </c>
      <c r="G53" s="192">
        <f>SUM(G47:G52)</f>
        <v>4833.5</v>
      </c>
      <c r="H53" s="138">
        <f>SUM(H47:H52)</f>
        <v>5220.1000000000004</v>
      </c>
      <c r="I53" s="138">
        <f>SUM(I47:I52)</f>
        <v>5637.6</v>
      </c>
    </row>
    <row r="54" spans="1:9" x14ac:dyDescent="0.2">
      <c r="A54" s="441" t="s">
        <v>7</v>
      </c>
      <c r="B54" s="441"/>
      <c r="C54" s="441"/>
      <c r="D54" s="441"/>
      <c r="E54" s="441"/>
      <c r="F54" s="139"/>
      <c r="G54" s="173"/>
      <c r="H54" s="139"/>
      <c r="I54" s="139"/>
    </row>
    <row r="55" spans="1:9" x14ac:dyDescent="0.2">
      <c r="A55" s="441" t="s">
        <v>5</v>
      </c>
      <c r="B55" s="441"/>
      <c r="C55" s="441"/>
      <c r="D55" s="441"/>
      <c r="E55" s="441"/>
      <c r="F55" s="139">
        <f>F22+F30+F39</f>
        <v>2128.5</v>
      </c>
      <c r="G55" s="173">
        <f>G22+G30+G39</f>
        <v>1980</v>
      </c>
      <c r="H55" s="139">
        <f>H22+H30+H39</f>
        <v>2138.3000000000002</v>
      </c>
      <c r="I55" s="139">
        <f>I22+I30+I39</f>
        <v>2309.3000000000002</v>
      </c>
    </row>
    <row r="56" spans="1:9" x14ac:dyDescent="0.2">
      <c r="A56" s="441" t="s">
        <v>6</v>
      </c>
      <c r="B56" s="441"/>
      <c r="C56" s="441"/>
      <c r="D56" s="441"/>
      <c r="E56" s="441"/>
      <c r="F56" s="139">
        <f>F19+F26+F33+F36</f>
        <v>1889</v>
      </c>
      <c r="G56" s="173">
        <f>G19+G26+G33+G36</f>
        <v>2853.5</v>
      </c>
      <c r="H56" s="139">
        <f>H19+H26+H33+H36</f>
        <v>3081.8</v>
      </c>
      <c r="I56" s="139">
        <f>I19+I26+I33+I36</f>
        <v>3328.3</v>
      </c>
    </row>
    <row r="57" spans="1:9" x14ac:dyDescent="0.2">
      <c r="F57" s="140"/>
      <c r="G57" s="172"/>
      <c r="H57" s="97"/>
      <c r="I57" s="97"/>
    </row>
    <row r="58" spans="1:9" hidden="1" x14ac:dyDescent="0.2">
      <c r="E58" s="1" t="s">
        <v>23</v>
      </c>
      <c r="F58" s="141">
        <f>F53-F42</f>
        <v>0</v>
      </c>
      <c r="G58" s="171">
        <f>G53-G42</f>
        <v>0</v>
      </c>
      <c r="H58" s="141">
        <f>H53-H42</f>
        <v>0</v>
      </c>
      <c r="I58" s="141">
        <f>I53-I42</f>
        <v>0</v>
      </c>
    </row>
    <row r="59" spans="1:9" hidden="1" x14ac:dyDescent="0.2">
      <c r="F59" s="142">
        <f>F55+F56-F42</f>
        <v>0</v>
      </c>
      <c r="G59" s="170">
        <f>G55+G56-G42</f>
        <v>0</v>
      </c>
      <c r="H59" s="142">
        <f>H55+H56-H42</f>
        <v>0</v>
      </c>
      <c r="I59" s="142">
        <f>I55+I56-I42</f>
        <v>0</v>
      </c>
    </row>
  </sheetData>
  <mergeCells count="70">
    <mergeCell ref="Q13:Q16"/>
    <mergeCell ref="A47:D47"/>
    <mergeCell ref="C27:C30"/>
    <mergeCell ref="C31:C33"/>
    <mergeCell ref="C13:C16"/>
    <mergeCell ref="A34:A36"/>
    <mergeCell ref="A37:A39"/>
    <mergeCell ref="B17:B19"/>
    <mergeCell ref="B20:B22"/>
    <mergeCell ref="B23:B26"/>
    <mergeCell ref="B27:B30"/>
    <mergeCell ref="B31:B33"/>
    <mergeCell ref="B34:B36"/>
    <mergeCell ref="A13:A16"/>
    <mergeCell ref="A17:A19"/>
    <mergeCell ref="A20:A22"/>
    <mergeCell ref="A23:A26"/>
    <mergeCell ref="A27:A30"/>
    <mergeCell ref="A8:P8"/>
    <mergeCell ref="E9:E10"/>
    <mergeCell ref="F9:F10"/>
    <mergeCell ref="H9:H10"/>
    <mergeCell ref="G9:G10"/>
    <mergeCell ref="I9:I10"/>
    <mergeCell ref="J9:J10"/>
    <mergeCell ref="K9:K10"/>
    <mergeCell ref="L9:M9"/>
    <mergeCell ref="N9:P9"/>
    <mergeCell ref="A9:C9"/>
    <mergeCell ref="D9:D10"/>
    <mergeCell ref="R9:R10"/>
    <mergeCell ref="B13:B16"/>
    <mergeCell ref="J13:J16"/>
    <mergeCell ref="E20:I20"/>
    <mergeCell ref="E23:I23"/>
    <mergeCell ref="Q9:Q10"/>
    <mergeCell ref="E12:Q12"/>
    <mergeCell ref="E13:I16"/>
    <mergeCell ref="E17:I17"/>
    <mergeCell ref="D13:D16"/>
    <mergeCell ref="D17:D19"/>
    <mergeCell ref="D20:D22"/>
    <mergeCell ref="D23:D26"/>
    <mergeCell ref="C17:C19"/>
    <mergeCell ref="C20:C22"/>
    <mergeCell ref="C23:C26"/>
    <mergeCell ref="A56:E56"/>
    <mergeCell ref="E27:I27"/>
    <mergeCell ref="E31:I31"/>
    <mergeCell ref="C34:C36"/>
    <mergeCell ref="C37:C39"/>
    <mergeCell ref="D34:D36"/>
    <mergeCell ref="D37:D39"/>
    <mergeCell ref="B37:B39"/>
    <mergeCell ref="A31:A33"/>
    <mergeCell ref="A48:D48"/>
    <mergeCell ref="D27:D30"/>
    <mergeCell ref="D31:D33"/>
    <mergeCell ref="E34:I34"/>
    <mergeCell ref="E37:I37"/>
    <mergeCell ref="A49:D49"/>
    <mergeCell ref="A50:D50"/>
    <mergeCell ref="A43:K43"/>
    <mergeCell ref="A46:I46"/>
    <mergeCell ref="A53:E53"/>
    <mergeCell ref="A54:E54"/>
    <mergeCell ref="A55:E55"/>
    <mergeCell ref="A51:D51"/>
    <mergeCell ref="A52:D52"/>
    <mergeCell ref="A44:K4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rowBreaks count="1" manualBreakCount="1">
    <brk id="3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K27" sqref="K27"/>
    </sheetView>
  </sheetViews>
  <sheetFormatPr defaultRowHeight="12.75" x14ac:dyDescent="0.2"/>
  <sheetData>
    <row r="1" spans="1:2" x14ac:dyDescent="0.2">
      <c r="A1" s="422" t="s">
        <v>14</v>
      </c>
      <c r="B1">
        <v>1.08</v>
      </c>
    </row>
    <row r="2" spans="1:2" x14ac:dyDescent="0.2">
      <c r="A2" s="422" t="s">
        <v>15</v>
      </c>
      <c r="B2">
        <v>1.08</v>
      </c>
    </row>
    <row r="3" spans="1:2" x14ac:dyDescent="0.2">
      <c r="A3" s="422" t="s">
        <v>17</v>
      </c>
      <c r="B3">
        <v>1.08</v>
      </c>
    </row>
    <row r="4" spans="1:2" x14ac:dyDescent="0.2">
      <c r="A4" s="422" t="s">
        <v>269</v>
      </c>
      <c r="B4">
        <v>1.08</v>
      </c>
    </row>
    <row r="5" spans="1:2" x14ac:dyDescent="0.2">
      <c r="A5" s="422" t="s">
        <v>18</v>
      </c>
      <c r="B5">
        <v>1.08</v>
      </c>
    </row>
    <row r="6" spans="1:2" x14ac:dyDescent="0.2">
      <c r="A6" s="42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8</vt:i4>
      </vt:variant>
    </vt:vector>
  </HeadingPairs>
  <TitlesOfParts>
    <vt:vector size="17" baseType="lpstr">
      <vt:lpstr>001</vt:lpstr>
      <vt:lpstr>002</vt:lpstr>
      <vt:lpstr>003</vt:lpstr>
      <vt:lpstr>004</vt:lpstr>
      <vt:lpstr>005</vt:lpstr>
      <vt:lpstr>006</vt:lpstr>
      <vt:lpstr>007</vt:lpstr>
      <vt:lpstr>008</vt:lpstr>
      <vt:lpstr>Lapas1</vt:lpstr>
      <vt:lpstr>'001'!Print_Area</vt:lpstr>
      <vt:lpstr>'002'!Print_Area</vt:lpstr>
      <vt:lpstr>'003'!Print_Area</vt:lpstr>
      <vt:lpstr>'004'!Print_Area</vt:lpstr>
      <vt:lpstr>'005'!Print_Area</vt:lpstr>
      <vt:lpstr>'006'!Print_Area</vt:lpstr>
      <vt:lpstr>'007'!Print_Area</vt:lpstr>
      <vt:lpstr>'008'!Print_Area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2025-01-28T15:04:15Z</dcterms:modified>
</cp:coreProperties>
</file>